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205" windowHeight="7035"/>
  </bookViews>
  <sheets>
    <sheet name="MiR" sheetId="1" r:id="rId1"/>
    <sheet name="IKRS" sheetId="2" r:id="rId2"/>
    <sheet name="HUMR" sheetId="3" r:id="rId3"/>
    <sheet name="SER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C81" i="1"/>
  <c r="L47" i="1"/>
  <c r="K47" i="1"/>
  <c r="H47" i="1" l="1"/>
  <c r="G47" i="1"/>
  <c r="D47" i="1"/>
  <c r="C47" i="1"/>
  <c r="I19" i="1"/>
  <c r="H19" i="1"/>
  <c r="D19" i="1"/>
  <c r="C19" i="1"/>
  <c r="E20" i="2"/>
  <c r="D20" i="2"/>
  <c r="F8" i="2"/>
  <c r="E8" i="4"/>
  <c r="D8" i="4"/>
  <c r="G19" i="1" l="1"/>
  <c r="L88" i="1"/>
  <c r="M84" i="1"/>
  <c r="M83" i="1"/>
  <c r="I84" i="1"/>
  <c r="I83" i="1"/>
  <c r="M81" i="1"/>
  <c r="M80" i="1"/>
  <c r="M79" i="1"/>
  <c r="M78" i="1"/>
  <c r="M76" i="1"/>
  <c r="M74" i="1"/>
  <c r="M68" i="1"/>
  <c r="M66" i="1"/>
  <c r="M65" i="1"/>
  <c r="M64" i="1"/>
  <c r="M59" i="1"/>
  <c r="M57" i="1"/>
  <c r="M55" i="1"/>
  <c r="M54" i="1"/>
  <c r="I81" i="1"/>
  <c r="G81" i="1"/>
  <c r="I76" i="1"/>
  <c r="M50" i="1"/>
  <c r="M49" i="1"/>
  <c r="I50" i="1"/>
  <c r="I49" i="1"/>
  <c r="M93" i="1"/>
  <c r="M46" i="1"/>
  <c r="M44" i="1"/>
  <c r="M40" i="1"/>
  <c r="I38" i="1"/>
  <c r="M38" i="1"/>
  <c r="M32" i="1"/>
  <c r="M26" i="1"/>
  <c r="I5" i="1" l="1"/>
  <c r="I6" i="1"/>
  <c r="I7" i="1"/>
  <c r="I8" i="1"/>
  <c r="I9" i="1"/>
  <c r="I11" i="1"/>
  <c r="I13" i="1"/>
  <c r="I14" i="1"/>
  <c r="I15" i="1"/>
  <c r="I16" i="1"/>
  <c r="I17" i="1"/>
  <c r="I18" i="1"/>
  <c r="I24" i="1"/>
  <c r="I37" i="1"/>
  <c r="I39" i="1"/>
  <c r="I59" i="1"/>
  <c r="I60" i="1"/>
  <c r="I67" i="1"/>
  <c r="I68" i="1"/>
  <c r="I69" i="1"/>
  <c r="M36" i="1" l="1"/>
  <c r="H8" i="4" l="1"/>
  <c r="G8" i="4"/>
  <c r="H10" i="3"/>
  <c r="G10" i="3"/>
  <c r="I20" i="2"/>
  <c r="H20" i="2"/>
  <c r="G20" i="2"/>
  <c r="I12" i="2"/>
  <c r="I9" i="2"/>
  <c r="I8" i="2"/>
  <c r="I7" i="2"/>
  <c r="I6" i="2"/>
  <c r="I5" i="2"/>
  <c r="O8" i="4" l="1"/>
  <c r="L8" i="4"/>
  <c r="L7" i="4"/>
  <c r="O6" i="4"/>
  <c r="L6" i="4"/>
  <c r="O5" i="4"/>
  <c r="L5" i="4"/>
  <c r="O10" i="3"/>
  <c r="L10" i="3"/>
  <c r="O9" i="3"/>
  <c r="L9" i="3"/>
  <c r="O8" i="3"/>
  <c r="O7" i="3"/>
  <c r="L7" i="3"/>
  <c r="L6" i="3"/>
  <c r="O5" i="3"/>
  <c r="L5" i="3"/>
  <c r="O20" i="2"/>
  <c r="L20" i="2"/>
  <c r="L17" i="2"/>
  <c r="O14" i="2"/>
  <c r="O12" i="2"/>
  <c r="L12" i="2"/>
  <c r="L11" i="2"/>
  <c r="O10" i="2"/>
  <c r="L10" i="2"/>
  <c r="O9" i="2"/>
  <c r="L9" i="2"/>
  <c r="O8" i="2"/>
  <c r="L8" i="2"/>
  <c r="O7" i="2"/>
  <c r="L7" i="2"/>
  <c r="O5" i="2"/>
  <c r="L5" i="2"/>
  <c r="M5" i="1" l="1"/>
  <c r="M6" i="1"/>
  <c r="M7" i="1"/>
  <c r="M8" i="1"/>
  <c r="M9" i="1"/>
  <c r="M11" i="1"/>
  <c r="M13" i="1"/>
  <c r="M14" i="1"/>
  <c r="M15" i="1"/>
  <c r="M16" i="1"/>
  <c r="M17" i="1"/>
  <c r="M18" i="1"/>
  <c r="M19" i="1"/>
  <c r="M77" i="1" l="1"/>
  <c r="M75" i="1"/>
  <c r="M73" i="1"/>
  <c r="M72" i="1"/>
  <c r="M71" i="1"/>
  <c r="M70" i="1"/>
  <c r="M67" i="1"/>
  <c r="M62" i="1"/>
  <c r="M60" i="1"/>
  <c r="M56" i="1"/>
  <c r="M45" i="1"/>
  <c r="M43" i="1"/>
  <c r="M42" i="1"/>
  <c r="M37" i="1"/>
  <c r="M35" i="1"/>
  <c r="M34" i="1"/>
  <c r="M29" i="1"/>
  <c r="M28" i="1"/>
  <c r="M27" i="1"/>
  <c r="M25" i="1"/>
</calcChain>
</file>

<file path=xl/sharedStrings.xml><?xml version="1.0" encoding="utf-8"?>
<sst xmlns="http://schemas.openxmlformats.org/spreadsheetml/2006/main" count="335" uniqueCount="210">
  <si>
    <t>Vår 2021</t>
  </si>
  <si>
    <t>Vår 2020</t>
  </si>
  <si>
    <t>Vår 2019</t>
  </si>
  <si>
    <t>Emne</t>
  </si>
  <si>
    <t>Emnenavn</t>
  </si>
  <si>
    <t>Studieårsemner</t>
  </si>
  <si>
    <t>Oppmeldte</t>
  </si>
  <si>
    <t>Møtt</t>
  </si>
  <si>
    <t>%møtt</t>
  </si>
  <si>
    <t>JUS1111</t>
  </si>
  <si>
    <t>Privatrett I</t>
  </si>
  <si>
    <t>JUS1211</t>
  </si>
  <si>
    <t>Privatrett II</t>
  </si>
  <si>
    <t>JUS2111</t>
  </si>
  <si>
    <t>Statsforfatningsrett</t>
  </si>
  <si>
    <t>JUS2211</t>
  </si>
  <si>
    <t xml:space="preserve">Forvaltningsrett og </t>
  </si>
  <si>
    <t>JFEXFAC04</t>
  </si>
  <si>
    <t>Ex.fac</t>
  </si>
  <si>
    <t>Formuerett I</t>
  </si>
  <si>
    <t>Formuerett II</t>
  </si>
  <si>
    <t>JUS3220</t>
  </si>
  <si>
    <t>Rettshistorie</t>
  </si>
  <si>
    <t>JUS4111</t>
  </si>
  <si>
    <t>Metode og etikk</t>
  </si>
  <si>
    <t>JUS4211</t>
  </si>
  <si>
    <t>Prosess og straffere</t>
  </si>
  <si>
    <t>JUS4121</t>
  </si>
  <si>
    <t>Rettsøkonomi 1</t>
  </si>
  <si>
    <t>JUS4122</t>
  </si>
  <si>
    <t>Rettssosiologi 1</t>
  </si>
  <si>
    <t>JUS4123</t>
  </si>
  <si>
    <t>Rettsfilosofi</t>
  </si>
  <si>
    <t>Totalt</t>
  </si>
  <si>
    <t>Valgemner ba-nivå</t>
  </si>
  <si>
    <t>JFSPR1210</t>
  </si>
  <si>
    <t>Fransk for jurister</t>
  </si>
  <si>
    <t>JFSPR1310</t>
  </si>
  <si>
    <t>JUR1120</t>
  </si>
  <si>
    <t>Utlendingsrett</t>
  </si>
  <si>
    <t>JUR1220</t>
  </si>
  <si>
    <t>Bygge- og entreprise</t>
  </si>
  <si>
    <t>JUR1230</t>
  </si>
  <si>
    <t>Int. Commercial Law</t>
  </si>
  <si>
    <t>JUR1260</t>
  </si>
  <si>
    <t>English Law of Contr</t>
  </si>
  <si>
    <t>JUR1285</t>
  </si>
  <si>
    <t>Markedsrett</t>
  </si>
  <si>
    <t>JUR1440</t>
  </si>
  <si>
    <t>EU Substantive Law</t>
  </si>
  <si>
    <t>JUR1450</t>
  </si>
  <si>
    <t>Marine Insurance</t>
  </si>
  <si>
    <t>JUR1504</t>
  </si>
  <si>
    <t>Konflikthåndtering</t>
  </si>
  <si>
    <t>JUR1512</t>
  </si>
  <si>
    <t>Arbeidsrett (koll.)</t>
  </si>
  <si>
    <t>JUR1530</t>
  </si>
  <si>
    <t>Refugee and Asylum</t>
  </si>
  <si>
    <t>JUR1560</t>
  </si>
  <si>
    <t>Int. Const. Law &amp;Dem</t>
  </si>
  <si>
    <t>JUR1630</t>
  </si>
  <si>
    <t>Privacy, Data Protec</t>
  </si>
  <si>
    <t>JUR1671</t>
  </si>
  <si>
    <t>Legal Technology: Ar</t>
  </si>
  <si>
    <t>JUR1820</t>
  </si>
  <si>
    <t>Patent- og varemerke</t>
  </si>
  <si>
    <t>JUR1910</t>
  </si>
  <si>
    <t>Women's Law and Huma</t>
  </si>
  <si>
    <t>JUR1960</t>
  </si>
  <si>
    <t>Trygderett</t>
  </si>
  <si>
    <t>JUR1970</t>
  </si>
  <si>
    <t>Barnerett</t>
  </si>
  <si>
    <t>JUR1981</t>
  </si>
  <si>
    <t>Grunnleggende skatte</t>
  </si>
  <si>
    <t>JUROFF1410</t>
  </si>
  <si>
    <t>Folkerett</t>
  </si>
  <si>
    <t>Valgemner ma-nivå</t>
  </si>
  <si>
    <t>JUS5120</t>
  </si>
  <si>
    <t>Utlendingsrett (frem</t>
  </si>
  <si>
    <t>JUS5220</t>
  </si>
  <si>
    <t>JUS5230</t>
  </si>
  <si>
    <t>JUS5260</t>
  </si>
  <si>
    <t>JUS5420</t>
  </si>
  <si>
    <t>Forsikringsrett</t>
  </si>
  <si>
    <t>JUS5440</t>
  </si>
  <si>
    <t>JUS5450</t>
  </si>
  <si>
    <t>JUS5504</t>
  </si>
  <si>
    <t>JUS5512</t>
  </si>
  <si>
    <t>JUS5530</t>
  </si>
  <si>
    <t>Ref &amp; Asyl</t>
  </si>
  <si>
    <t>JUS5560</t>
  </si>
  <si>
    <t>International Consti</t>
  </si>
  <si>
    <t>JUS5570</t>
  </si>
  <si>
    <t>Int. Criminal Law</t>
  </si>
  <si>
    <t>JUS5630</t>
  </si>
  <si>
    <t>Privacy and Data Pro</t>
  </si>
  <si>
    <t>JUS5650</t>
  </si>
  <si>
    <t>Cybersecurity Regula</t>
  </si>
  <si>
    <t>JUS5671</t>
  </si>
  <si>
    <t>JUS5801</t>
  </si>
  <si>
    <t>Selskapsrett</t>
  </si>
  <si>
    <t>JUS5820</t>
  </si>
  <si>
    <t>JUS5851</t>
  </si>
  <si>
    <t>International Invest</t>
  </si>
  <si>
    <t>JUS5910</t>
  </si>
  <si>
    <t>JUS5911</t>
  </si>
  <si>
    <t>International Climat</t>
  </si>
  <si>
    <t>JUS5960</t>
  </si>
  <si>
    <t>JUS5970</t>
  </si>
  <si>
    <t>JUS5981</t>
  </si>
  <si>
    <t>Skatterett I: Grunnl</t>
  </si>
  <si>
    <t>JUS3112</t>
  </si>
  <si>
    <t>JUR1412</t>
  </si>
  <si>
    <t>JUR1580</t>
  </si>
  <si>
    <t>Kommunalrett</t>
  </si>
  <si>
    <t>JUS5412</t>
  </si>
  <si>
    <t>JUS5580</t>
  </si>
  <si>
    <t>Alle emner rettsstudiet + valgemner</t>
  </si>
  <si>
    <t>totalt</t>
  </si>
  <si>
    <t>JUR5030</t>
  </si>
  <si>
    <t>Masteroppgave 30 stp</t>
  </si>
  <si>
    <t>JUR5060</t>
  </si>
  <si>
    <t>Masteroppgave 60 sto</t>
  </si>
  <si>
    <t>%gjentak</t>
  </si>
  <si>
    <t>Engelske</t>
  </si>
  <si>
    <t xml:space="preserve">Norske </t>
  </si>
  <si>
    <t>Valgemner</t>
  </si>
  <si>
    <t>BA</t>
  </si>
  <si>
    <t>MA</t>
  </si>
  <si>
    <t xml:space="preserve">%gjentak </t>
  </si>
  <si>
    <t>Alle valgemner BA</t>
  </si>
  <si>
    <t>Alle valgemner MA</t>
  </si>
  <si>
    <t>Alle valgemner</t>
  </si>
  <si>
    <t xml:space="preserve">Tallene er hentet fra FS582.001 (viser antall oppmeldte ved trekkfrist og antall møtte til eksamen) og Tableau Gjentaksstudenter_JFM5-emner (viser antall og andel gjentaksstudenter av antall møtte) </t>
  </si>
  <si>
    <t>Oppnådd grad</t>
  </si>
  <si>
    <t>IKRS-emner</t>
  </si>
  <si>
    <t>KRIM1300</t>
  </si>
  <si>
    <t>Sosial kontroll</t>
  </si>
  <si>
    <t>KRIM2101</t>
  </si>
  <si>
    <t>Fordypningsoppgave i</t>
  </si>
  <si>
    <t>(emnet gikk ikke)</t>
  </si>
  <si>
    <t>KRIM2953</t>
  </si>
  <si>
    <t>Criminological Persp</t>
  </si>
  <si>
    <t>KRIM2960</t>
  </si>
  <si>
    <t xml:space="preserve">Green Criminology_x000D_
</t>
  </si>
  <si>
    <t>KRIM4102</t>
  </si>
  <si>
    <t xml:space="preserve">Sentrale teoretiske </t>
  </si>
  <si>
    <t>KRIM4104</t>
  </si>
  <si>
    <t>Prosjektdesign</t>
  </si>
  <si>
    <t>KRIM4953</t>
  </si>
  <si>
    <t>KRIM4960</t>
  </si>
  <si>
    <t>Green Criminology</t>
  </si>
  <si>
    <t>KRIM5001</t>
  </si>
  <si>
    <t>Masteroppgave i krim</t>
  </si>
  <si>
    <t>RSOS4102</t>
  </si>
  <si>
    <t>RSOS4104</t>
  </si>
  <si>
    <t>RSOS5001</t>
  </si>
  <si>
    <t>Masteroppgave i rett</t>
  </si>
  <si>
    <t>HUMR-emner</t>
  </si>
  <si>
    <t>HUMR4504</t>
  </si>
  <si>
    <t>Human Rights in Prac</t>
  </si>
  <si>
    <t>HUMR5150</t>
  </si>
  <si>
    <t>The Philosophy of Hu</t>
  </si>
  <si>
    <t>HUMR5200</t>
  </si>
  <si>
    <t>Thesis in The Theory</t>
  </si>
  <si>
    <t>HUMR5508</t>
  </si>
  <si>
    <t>Human Rights and Div</t>
  </si>
  <si>
    <t>HUMR5702</t>
  </si>
  <si>
    <t>Human Rights and Sus</t>
  </si>
  <si>
    <t>Seri-emner</t>
  </si>
  <si>
    <t>RINF1100</t>
  </si>
  <si>
    <t>Ytringsfrihet, medie</t>
  </si>
  <si>
    <t>FINF4021</t>
  </si>
  <si>
    <t>Automatisert rettsan</t>
  </si>
  <si>
    <t>FINF4022</t>
  </si>
  <si>
    <t>Forskningmetoder</t>
  </si>
  <si>
    <t>KRIM2000</t>
  </si>
  <si>
    <t xml:space="preserve">Tallene er hentet fra FS582.001 (viser antall oppmeldte ved trekkfrist og antall møtte til eksamen)  </t>
  </si>
  <si>
    <t>V21</t>
  </si>
  <si>
    <t>V20</t>
  </si>
  <si>
    <t>V19</t>
  </si>
  <si>
    <t>Vår 2022</t>
  </si>
  <si>
    <t>Oppmeldt</t>
  </si>
  <si>
    <t>V22</t>
  </si>
  <si>
    <t>JUS3212*</t>
  </si>
  <si>
    <t>JUR1441</t>
  </si>
  <si>
    <t>JUROFF1210</t>
  </si>
  <si>
    <t>186*</t>
  </si>
  <si>
    <t>JUS5441</t>
  </si>
  <si>
    <t>JUS5502</t>
  </si>
  <si>
    <t>RSOS2952</t>
  </si>
  <si>
    <t>RSOS4952</t>
  </si>
  <si>
    <t>Law, ideology and Human rights violations</t>
  </si>
  <si>
    <t>(høstemne)</t>
  </si>
  <si>
    <t xml:space="preserve">Energy law </t>
  </si>
  <si>
    <t>EU External relations (ny)</t>
  </si>
  <si>
    <t>EU External relations (ny v22)</t>
  </si>
  <si>
    <t>Lovgivningslære</t>
  </si>
  <si>
    <t>(var høstemne)</t>
  </si>
  <si>
    <t>(annethvert år)</t>
  </si>
  <si>
    <t xml:space="preserve">Tysk for jurister </t>
  </si>
  <si>
    <t>emnet gikk ikke</t>
  </si>
  <si>
    <t xml:space="preserve">Andre emner </t>
  </si>
  <si>
    <t>Intro. Forvaltningsrett</t>
  </si>
  <si>
    <t>ikke klar</t>
  </si>
  <si>
    <t>*siste gang v22</t>
  </si>
  <si>
    <t>EU Substantive Law*</t>
  </si>
  <si>
    <t>JUS3213**</t>
  </si>
  <si>
    <t>**ny h21</t>
  </si>
  <si>
    <t>*tallet er foreløpig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</si>
</sst>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310">
    <xf numFmtId="0" fontId="0" fillId="0" borderId="0" xfId="0"/>
    <xf numFmtId="0" fontId="0" fillId="2" borderId="2" xfId="0" applyFill="1" applyBorder="1"/>
    <xf numFmtId="0" fontId="2" fillId="3" borderId="1" xfId="0" applyFont="1" applyFill="1" applyBorder="1"/>
    <xf numFmtId="0" fontId="2" fillId="3" borderId="2" xfId="0" applyFont="1" applyFill="1" applyBorder="1" applyAlignment="1">
      <alignment horizontal="right"/>
    </xf>
    <xf numFmtId="0" fontId="0" fillId="0" borderId="0" xfId="0" applyBorder="1"/>
    <xf numFmtId="0" fontId="0" fillId="3" borderId="3" xfId="0" applyFill="1" applyBorder="1"/>
    <xf numFmtId="0" fontId="0" fillId="3" borderId="0" xfId="0" applyFill="1" applyBorder="1"/>
    <xf numFmtId="0" fontId="3" fillId="0" borderId="0" xfId="3" applyBorder="1"/>
    <xf numFmtId="0" fontId="3" fillId="3" borderId="3" xfId="3" applyFill="1" applyBorder="1"/>
    <xf numFmtId="0" fontId="3" fillId="3" borderId="0" xfId="3" applyFill="1" applyBorder="1"/>
    <xf numFmtId="0" fontId="3" fillId="0" borderId="3" xfId="3" applyBorder="1"/>
    <xf numFmtId="0" fontId="2" fillId="3" borderId="5" xfId="0" applyFont="1" applyFill="1" applyBorder="1"/>
    <xf numFmtId="0" fontId="3" fillId="0" borderId="1" xfId="3" applyBorder="1"/>
    <xf numFmtId="0" fontId="4" fillId="2" borderId="1" xfId="3" applyFont="1" applyFill="1" applyBorder="1"/>
    <xf numFmtId="0" fontId="2" fillId="3" borderId="2" xfId="0" applyFont="1" applyFill="1" applyBorder="1"/>
    <xf numFmtId="0" fontId="4" fillId="3" borderId="2" xfId="3" applyFont="1" applyFill="1" applyBorder="1"/>
    <xf numFmtId="0" fontId="2" fillId="4" borderId="7" xfId="0" applyFont="1" applyFill="1" applyBorder="1"/>
    <xf numFmtId="0" fontId="3" fillId="4" borderId="0" xfId="3" applyFill="1" applyBorder="1"/>
    <xf numFmtId="0" fontId="2" fillId="4" borderId="5" xfId="0" applyFont="1" applyFill="1" applyBorder="1"/>
    <xf numFmtId="0" fontId="2" fillId="4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right"/>
    </xf>
    <xf numFmtId="9" fontId="2" fillId="4" borderId="2" xfId="1" applyFont="1" applyFill="1" applyBorder="1" applyAlignment="1">
      <alignment horizontal="right"/>
    </xf>
    <xf numFmtId="0" fontId="4" fillId="0" borderId="1" xfId="3" applyFont="1" applyBorder="1"/>
    <xf numFmtId="0" fontId="4" fillId="4" borderId="2" xfId="3" applyFont="1" applyFill="1" applyBorder="1"/>
    <xf numFmtId="0" fontId="5" fillId="0" borderId="0" xfId="0" applyFont="1" applyBorder="1"/>
    <xf numFmtId="0" fontId="4" fillId="5" borderId="2" xfId="3" applyFont="1" applyFill="1" applyBorder="1"/>
    <xf numFmtId="0" fontId="2" fillId="5" borderId="2" xfId="0" applyFont="1" applyFill="1" applyBorder="1"/>
    <xf numFmtId="0" fontId="2" fillId="3" borderId="7" xfId="0" applyFont="1" applyFill="1" applyBorder="1"/>
    <xf numFmtId="9" fontId="2" fillId="4" borderId="9" xfId="1" applyFont="1" applyFill="1" applyBorder="1" applyAlignment="1">
      <alignment horizontal="right"/>
    </xf>
    <xf numFmtId="0" fontId="2" fillId="5" borderId="7" xfId="0" applyFont="1" applyFill="1" applyBorder="1"/>
    <xf numFmtId="0" fontId="3" fillId="2" borderId="1" xfId="3" applyFont="1" applyFill="1" applyBorder="1"/>
    <xf numFmtId="0" fontId="2" fillId="5" borderId="2" xfId="0" applyFont="1" applyFill="1" applyBorder="1" applyAlignment="1">
      <alignment horizontal="right"/>
    </xf>
    <xf numFmtId="9" fontId="2" fillId="5" borderId="2" xfId="1" applyFont="1" applyFill="1" applyBorder="1" applyAlignment="1">
      <alignment horizontal="right"/>
    </xf>
    <xf numFmtId="0" fontId="3" fillId="5" borderId="0" xfId="3" applyFill="1" applyBorder="1"/>
    <xf numFmtId="9" fontId="0" fillId="5" borderId="0" xfId="1" applyFont="1" applyFill="1" applyBorder="1"/>
    <xf numFmtId="0" fontId="3" fillId="5" borderId="0" xfId="3" applyFill="1"/>
    <xf numFmtId="0" fontId="4" fillId="0" borderId="2" xfId="3" applyFont="1" applyBorder="1"/>
    <xf numFmtId="9" fontId="2" fillId="5" borderId="2" xfId="1" applyFont="1" applyFill="1" applyBorder="1"/>
    <xf numFmtId="0" fontId="3" fillId="2" borderId="1" xfId="3" applyFill="1" applyBorder="1"/>
    <xf numFmtId="0" fontId="3" fillId="0" borderId="4" xfId="3" applyBorder="1"/>
    <xf numFmtId="0" fontId="3" fillId="5" borderId="5" xfId="3" applyFill="1" applyBorder="1"/>
    <xf numFmtId="9" fontId="0" fillId="5" borderId="5" xfId="1" applyFont="1" applyFill="1" applyBorder="1"/>
    <xf numFmtId="0" fontId="0" fillId="0" borderId="4" xfId="0" applyBorder="1"/>
    <xf numFmtId="0" fontId="2" fillId="0" borderId="5" xfId="0" applyFont="1" applyBorder="1"/>
    <xf numFmtId="0" fontId="2" fillId="5" borderId="5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3" fillId="4" borderId="3" xfId="3" applyFill="1" applyBorder="1"/>
    <xf numFmtId="0" fontId="3" fillId="4" borderId="10" xfId="3" applyFill="1" applyBorder="1"/>
    <xf numFmtId="0" fontId="4" fillId="4" borderId="1" xfId="3" applyFont="1" applyFill="1" applyBorder="1"/>
    <xf numFmtId="0" fontId="4" fillId="4" borderId="9" xfId="3" applyFont="1" applyFill="1" applyBorder="1"/>
    <xf numFmtId="0" fontId="0" fillId="0" borderId="6" xfId="0" applyBorder="1"/>
    <xf numFmtId="0" fontId="0" fillId="0" borderId="7" xfId="0" applyBorder="1"/>
    <xf numFmtId="0" fontId="0" fillId="0" borderId="12" xfId="0" applyBorder="1"/>
    <xf numFmtId="0" fontId="2" fillId="5" borderId="1" xfId="0" applyFont="1" applyFill="1" applyBorder="1"/>
    <xf numFmtId="0" fontId="3" fillId="5" borderId="3" xfId="3" applyFill="1" applyBorder="1"/>
    <xf numFmtId="0" fontId="4" fillId="5" borderId="1" xfId="3" applyFont="1" applyFill="1" applyBorder="1"/>
    <xf numFmtId="0" fontId="0" fillId="5" borderId="7" xfId="0" applyFill="1" applyBorder="1"/>
    <xf numFmtId="0" fontId="0" fillId="2" borderId="9" xfId="0" applyFill="1" applyBorder="1"/>
    <xf numFmtId="0" fontId="3" fillId="0" borderId="10" xfId="3" applyBorder="1"/>
    <xf numFmtId="0" fontId="3" fillId="7" borderId="10" xfId="3" applyFill="1" applyBorder="1"/>
    <xf numFmtId="0" fontId="4" fillId="0" borderId="9" xfId="3" applyFont="1" applyBorder="1"/>
    <xf numFmtId="0" fontId="3" fillId="0" borderId="8" xfId="3" applyBorder="1"/>
    <xf numFmtId="10" fontId="3" fillId="4" borderId="10" xfId="3" applyNumberFormat="1" applyFill="1" applyBorder="1"/>
    <xf numFmtId="10" fontId="0" fillId="0" borderId="0" xfId="0" applyNumberFormat="1"/>
    <xf numFmtId="10" fontId="0" fillId="4" borderId="12" xfId="0" applyNumberFormat="1" applyFill="1" applyBorder="1"/>
    <xf numFmtId="10" fontId="2" fillId="4" borderId="9" xfId="1" applyNumberFormat="1" applyFont="1" applyFill="1" applyBorder="1" applyAlignment="1">
      <alignment horizontal="right"/>
    </xf>
    <xf numFmtId="10" fontId="4" fillId="4" borderId="9" xfId="3" applyNumberFormat="1" applyFont="1" applyFill="1" applyBorder="1"/>
    <xf numFmtId="0" fontId="3" fillId="2" borderId="9" xfId="3" applyFill="1" applyBorder="1"/>
    <xf numFmtId="0" fontId="3" fillId="0" borderId="11" xfId="3" applyBorder="1"/>
    <xf numFmtId="0" fontId="0" fillId="3" borderId="7" xfId="0" applyFill="1" applyBorder="1"/>
    <xf numFmtId="0" fontId="3" fillId="4" borderId="4" xfId="3" applyFill="1" applyBorder="1"/>
    <xf numFmtId="0" fontId="3" fillId="4" borderId="5" xfId="3" applyFill="1" applyBorder="1"/>
    <xf numFmtId="0" fontId="3" fillId="4" borderId="11" xfId="3" applyFill="1" applyBorder="1"/>
    <xf numFmtId="0" fontId="5" fillId="3" borderId="12" xfId="0" applyFont="1" applyFill="1" applyBorder="1"/>
    <xf numFmtId="9" fontId="2" fillId="3" borderId="9" xfId="1" applyFont="1" applyFill="1" applyBorder="1" applyAlignment="1">
      <alignment horizontal="right"/>
    </xf>
    <xf numFmtId="9" fontId="0" fillId="3" borderId="10" xfId="1" applyFont="1" applyFill="1" applyBorder="1"/>
    <xf numFmtId="9" fontId="0" fillId="3" borderId="11" xfId="1" applyFont="1" applyFill="1" applyBorder="1"/>
    <xf numFmtId="9" fontId="2" fillId="3" borderId="9" xfId="1" applyFont="1" applyFill="1" applyBorder="1"/>
    <xf numFmtId="0" fontId="3" fillId="4" borderId="10" xfId="3" applyNumberFormat="1" applyFill="1" applyBorder="1"/>
    <xf numFmtId="0" fontId="2" fillId="4" borderId="6" xfId="0" applyFont="1" applyFill="1" applyBorder="1"/>
    <xf numFmtId="10" fontId="2" fillId="4" borderId="12" xfId="0" applyNumberFormat="1" applyFont="1" applyFill="1" applyBorder="1"/>
    <xf numFmtId="0" fontId="2" fillId="5" borderId="6" xfId="0" applyFont="1" applyFill="1" applyBorder="1"/>
    <xf numFmtId="9" fontId="2" fillId="5" borderId="9" xfId="1" applyFont="1" applyFill="1" applyBorder="1" applyAlignment="1">
      <alignment horizontal="right"/>
    </xf>
    <xf numFmtId="0" fontId="2" fillId="4" borderId="4" xfId="0" applyFont="1" applyFill="1" applyBorder="1"/>
    <xf numFmtId="0" fontId="2" fillId="4" borderId="11" xfId="0" applyFont="1" applyFill="1" applyBorder="1"/>
    <xf numFmtId="9" fontId="0" fillId="5" borderId="10" xfId="1" applyFont="1" applyFill="1" applyBorder="1"/>
    <xf numFmtId="9" fontId="3" fillId="5" borderId="10" xfId="1" applyFont="1" applyFill="1" applyBorder="1"/>
    <xf numFmtId="0" fontId="2" fillId="5" borderId="4" xfId="0" applyFont="1" applyFill="1" applyBorder="1"/>
    <xf numFmtId="9" fontId="2" fillId="5" borderId="11" xfId="1" applyFont="1" applyFill="1" applyBorder="1"/>
    <xf numFmtId="0" fontId="2" fillId="3" borderId="4" xfId="0" applyFont="1" applyFill="1" applyBorder="1"/>
    <xf numFmtId="9" fontId="2" fillId="3" borderId="11" xfId="1" applyFont="1" applyFill="1" applyBorder="1"/>
    <xf numFmtId="9" fontId="3" fillId="4" borderId="10" xfId="3" applyNumberFormat="1" applyFill="1" applyBorder="1"/>
    <xf numFmtId="0" fontId="2" fillId="4" borderId="12" xfId="0" applyFont="1" applyFill="1" applyBorder="1"/>
    <xf numFmtId="0" fontId="2" fillId="5" borderId="12" xfId="0" applyFont="1" applyFill="1" applyBorder="1"/>
    <xf numFmtId="0" fontId="2" fillId="3" borderId="6" xfId="0" applyFont="1" applyFill="1" applyBorder="1"/>
    <xf numFmtId="0" fontId="2" fillId="3" borderId="12" xfId="0" applyFont="1" applyFill="1" applyBorder="1"/>
    <xf numFmtId="0" fontId="6" fillId="0" borderId="0" xfId="3" applyFont="1" applyBorder="1"/>
    <xf numFmtId="0" fontId="6" fillId="0" borderId="3" xfId="3" applyFont="1" applyBorder="1"/>
    <xf numFmtId="0" fontId="6" fillId="0" borderId="0" xfId="3" applyFont="1" applyFill="1" applyBorder="1"/>
    <xf numFmtId="0" fontId="7" fillId="0" borderId="3" xfId="0" applyFont="1" applyBorder="1"/>
    <xf numFmtId="0" fontId="7" fillId="0" borderId="0" xfId="0" applyFont="1" applyBorder="1"/>
    <xf numFmtId="0" fontId="6" fillId="4" borderId="3" xfId="3" applyFont="1" applyFill="1" applyBorder="1"/>
    <xf numFmtId="0" fontId="6" fillId="4" borderId="0" xfId="3" applyFont="1" applyFill="1" applyBorder="1"/>
    <xf numFmtId="0" fontId="6" fillId="5" borderId="3" xfId="3" applyFont="1" applyFill="1" applyBorder="1"/>
    <xf numFmtId="0" fontId="6" fillId="5" borderId="0" xfId="3" applyFont="1" applyFill="1" applyBorder="1"/>
    <xf numFmtId="0" fontId="6" fillId="3" borderId="0" xfId="3" applyFont="1" applyFill="1" applyBorder="1"/>
    <xf numFmtId="9" fontId="6" fillId="5" borderId="0" xfId="1" applyFont="1" applyFill="1" applyBorder="1"/>
    <xf numFmtId="0" fontId="6" fillId="5" borderId="10" xfId="1" applyNumberFormat="1" applyFont="1" applyFill="1" applyBorder="1"/>
    <xf numFmtId="9" fontId="6" fillId="3" borderId="0" xfId="1" applyFont="1" applyFill="1" applyBorder="1"/>
    <xf numFmtId="0" fontId="6" fillId="5" borderId="10" xfId="1" applyNumberFormat="1" applyFont="1" applyFill="1" applyBorder="1" applyAlignment="1">
      <alignment horizontal="right"/>
    </xf>
    <xf numFmtId="9" fontId="6" fillId="5" borderId="0" xfId="3" applyNumberFormat="1" applyFont="1" applyFill="1" applyBorder="1"/>
    <xf numFmtId="9" fontId="6" fillId="5" borderId="10" xfId="3" applyNumberFormat="1" applyFont="1" applyFill="1" applyBorder="1"/>
    <xf numFmtId="0" fontId="8" fillId="0" borderId="14" xfId="3" applyFont="1" applyFill="1" applyBorder="1"/>
    <xf numFmtId="0" fontId="8" fillId="0" borderId="0" xfId="3" applyFont="1" applyFill="1" applyBorder="1"/>
    <xf numFmtId="0" fontId="9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 applyAlignment="1">
      <alignment horizontal="right"/>
    </xf>
    <xf numFmtId="9" fontId="9" fillId="0" borderId="0" xfId="1" applyFont="1" applyFill="1" applyBorder="1" applyAlignment="1">
      <alignment horizontal="right"/>
    </xf>
    <xf numFmtId="0" fontId="6" fillId="0" borderId="16" xfId="3" applyFont="1" applyFill="1" applyBorder="1"/>
    <xf numFmtId="0" fontId="6" fillId="3" borderId="0" xfId="3" applyFont="1" applyFill="1"/>
    <xf numFmtId="0" fontId="6" fillId="0" borderId="3" xfId="3" applyFont="1" applyFill="1" applyBorder="1"/>
    <xf numFmtId="9" fontId="6" fillId="4" borderId="0" xfId="3" applyNumberFormat="1" applyFont="1" applyFill="1" applyBorder="1"/>
    <xf numFmtId="9" fontId="6" fillId="4" borderId="10" xfId="3" applyNumberFormat="1" applyFont="1" applyFill="1" applyBorder="1"/>
    <xf numFmtId="0" fontId="8" fillId="2" borderId="1" xfId="3" applyFont="1" applyFill="1" applyBorder="1"/>
    <xf numFmtId="0" fontId="8" fillId="2" borderId="9" xfId="3" applyFont="1" applyFill="1" applyBorder="1"/>
    <xf numFmtId="0" fontId="6" fillId="4" borderId="4" xfId="3" applyFont="1" applyFill="1" applyBorder="1"/>
    <xf numFmtId="0" fontId="6" fillId="4" borderId="5" xfId="3" applyFont="1" applyFill="1" applyBorder="1"/>
    <xf numFmtId="0" fontId="8" fillId="2" borderId="6" xfId="3" applyFont="1" applyFill="1" applyBorder="1"/>
    <xf numFmtId="0" fontId="8" fillId="2" borderId="4" xfId="3" applyFont="1" applyFill="1" applyBorder="1"/>
    <xf numFmtId="0" fontId="8" fillId="0" borderId="6" xfId="3" applyFont="1" applyBorder="1"/>
    <xf numFmtId="0" fontId="6" fillId="0" borderId="6" xfId="3" applyFont="1" applyBorder="1"/>
    <xf numFmtId="0" fontId="8" fillId="0" borderId="1" xfId="3" applyFont="1" applyBorder="1"/>
    <xf numFmtId="0" fontId="8" fillId="4" borderId="2" xfId="3" applyFont="1" applyFill="1" applyBorder="1"/>
    <xf numFmtId="0" fontId="8" fillId="3" borderId="2" xfId="3" applyFont="1" applyFill="1" applyBorder="1"/>
    <xf numFmtId="0" fontId="8" fillId="0" borderId="0" xfId="3" applyFont="1" applyBorder="1"/>
    <xf numFmtId="0" fontId="9" fillId="3" borderId="5" xfId="0" applyFont="1" applyFill="1" applyBorder="1"/>
    <xf numFmtId="9" fontId="9" fillId="3" borderId="5" xfId="1" applyFont="1" applyFill="1" applyBorder="1"/>
    <xf numFmtId="9" fontId="9" fillId="0" borderId="0" xfId="1" applyFont="1" applyFill="1" applyBorder="1"/>
    <xf numFmtId="0" fontId="8" fillId="2" borderId="15" xfId="3" applyFont="1" applyFill="1" applyBorder="1"/>
    <xf numFmtId="0" fontId="9" fillId="5" borderId="7" xfId="0" applyFont="1" applyFill="1" applyBorder="1"/>
    <xf numFmtId="9" fontId="9" fillId="5" borderId="7" xfId="1" applyFont="1" applyFill="1" applyBorder="1"/>
    <xf numFmtId="0" fontId="8" fillId="2" borderId="16" xfId="3" applyFont="1" applyFill="1" applyBorder="1"/>
    <xf numFmtId="0" fontId="8" fillId="2" borderId="17" xfId="3" applyFont="1" applyFill="1" applyBorder="1"/>
    <xf numFmtId="0" fontId="8" fillId="2" borderId="2" xfId="3" applyFont="1" applyFill="1" applyBorder="1"/>
    <xf numFmtId="0" fontId="8" fillId="6" borderId="2" xfId="3" applyFont="1" applyFill="1" applyBorder="1"/>
    <xf numFmtId="0" fontId="8" fillId="5" borderId="2" xfId="3" applyFont="1" applyFill="1" applyBorder="1"/>
    <xf numFmtId="0" fontId="10" fillId="0" borderId="0" xfId="0" applyFont="1" applyBorder="1"/>
    <xf numFmtId="0" fontId="7" fillId="0" borderId="0" xfId="0" applyFont="1"/>
    <xf numFmtId="0" fontId="9" fillId="0" borderId="0" xfId="0" applyFont="1" applyBorder="1"/>
    <xf numFmtId="0" fontId="7" fillId="0" borderId="1" xfId="0" applyFont="1" applyBorder="1"/>
    <xf numFmtId="0" fontId="7" fillId="4" borderId="2" xfId="0" applyFont="1" applyFill="1" applyBorder="1"/>
    <xf numFmtId="0" fontId="9" fillId="4" borderId="2" xfId="0" applyFont="1" applyFill="1" applyBorder="1"/>
    <xf numFmtId="9" fontId="9" fillId="4" borderId="2" xfId="1" applyFont="1" applyFill="1" applyBorder="1"/>
    <xf numFmtId="0" fontId="7" fillId="3" borderId="1" xfId="0" applyFont="1" applyFill="1" applyBorder="1"/>
    <xf numFmtId="0" fontId="9" fillId="3" borderId="2" xfId="0" applyFont="1" applyFill="1" applyBorder="1"/>
    <xf numFmtId="9" fontId="9" fillId="3" borderId="2" xfId="1" applyFont="1" applyFill="1" applyBorder="1"/>
    <xf numFmtId="0" fontId="9" fillId="2" borderId="1" xfId="0" applyFont="1" applyFill="1" applyBorder="1"/>
    <xf numFmtId="0" fontId="7" fillId="2" borderId="2" xfId="0" applyFont="1" applyFill="1" applyBorder="1"/>
    <xf numFmtId="0" fontId="9" fillId="5" borderId="1" xfId="0" applyFont="1" applyFill="1" applyBorder="1"/>
    <xf numFmtId="0" fontId="9" fillId="5" borderId="2" xfId="0" applyFont="1" applyFill="1" applyBorder="1" applyAlignment="1">
      <alignment horizontal="right"/>
    </xf>
    <xf numFmtId="9" fontId="9" fillId="5" borderId="2" xfId="1" applyFont="1" applyFill="1" applyBorder="1" applyAlignment="1">
      <alignment horizontal="right"/>
    </xf>
    <xf numFmtId="9" fontId="9" fillId="5" borderId="9" xfId="1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9" fontId="9" fillId="3" borderId="2" xfId="1" applyFont="1" applyFill="1" applyBorder="1" applyAlignment="1">
      <alignment horizontal="right"/>
    </xf>
    <xf numFmtId="0" fontId="7" fillId="4" borderId="3" xfId="0" applyFont="1" applyFill="1" applyBorder="1"/>
    <xf numFmtId="0" fontId="7" fillId="4" borderId="0" xfId="0" applyFont="1" applyFill="1" applyBorder="1"/>
    <xf numFmtId="0" fontId="7" fillId="4" borderId="10" xfId="0" applyFont="1" applyFill="1" applyBorder="1"/>
    <xf numFmtId="0" fontId="7" fillId="5" borderId="3" xfId="0" applyFont="1" applyFill="1" applyBorder="1"/>
    <xf numFmtId="0" fontId="7" fillId="5" borderId="0" xfId="0" applyFont="1" applyFill="1" applyBorder="1"/>
    <xf numFmtId="9" fontId="7" fillId="5" borderId="0" xfId="1" applyFont="1" applyFill="1" applyBorder="1"/>
    <xf numFmtId="0" fontId="7" fillId="5" borderId="10" xfId="1" applyNumberFormat="1" applyFont="1" applyFill="1" applyBorder="1"/>
    <xf numFmtId="0" fontId="7" fillId="3" borderId="0" xfId="0" applyFont="1" applyFill="1" applyBorder="1"/>
    <xf numFmtId="9" fontId="7" fillId="3" borderId="0" xfId="1" applyFont="1" applyFill="1" applyBorder="1"/>
    <xf numFmtId="0" fontId="7" fillId="3" borderId="10" xfId="0" applyFont="1" applyFill="1" applyBorder="1"/>
    <xf numFmtId="0" fontId="6" fillId="3" borderId="10" xfId="0" applyFont="1" applyFill="1" applyBorder="1"/>
    <xf numFmtId="0" fontId="7" fillId="3" borderId="0" xfId="0" applyFont="1" applyFill="1"/>
    <xf numFmtId="0" fontId="7" fillId="0" borderId="13" xfId="0" applyFont="1" applyBorder="1"/>
    <xf numFmtId="0" fontId="9" fillId="5" borderId="4" xfId="0" applyFont="1" applyFill="1" applyBorder="1"/>
    <xf numFmtId="0" fontId="9" fillId="5" borderId="5" xfId="0" applyFont="1" applyFill="1" applyBorder="1"/>
    <xf numFmtId="0" fontId="9" fillId="3" borderId="14" xfId="0" applyFont="1" applyFill="1" applyBorder="1"/>
    <xf numFmtId="9" fontId="9" fillId="3" borderId="14" xfId="1" applyFont="1" applyFill="1" applyBorder="1"/>
    <xf numFmtId="0" fontId="7" fillId="3" borderId="14" xfId="0" applyFont="1" applyFill="1" applyBorder="1"/>
    <xf numFmtId="0" fontId="7" fillId="0" borderId="0" xfId="0" applyFont="1" applyFill="1"/>
    <xf numFmtId="9" fontId="7" fillId="0" borderId="0" xfId="1" applyFont="1" applyFill="1"/>
    <xf numFmtId="0" fontId="9" fillId="2" borderId="2" xfId="0" applyFont="1" applyFill="1" applyBorder="1"/>
    <xf numFmtId="0" fontId="7" fillId="3" borderId="2" xfId="0" applyFont="1" applyFill="1" applyBorder="1"/>
    <xf numFmtId="9" fontId="7" fillId="3" borderId="0" xfId="1" applyFont="1" applyFill="1"/>
    <xf numFmtId="0" fontId="7" fillId="4" borderId="1" xfId="0" applyFont="1" applyFill="1" applyBorder="1"/>
    <xf numFmtId="0" fontId="7" fillId="3" borderId="9" xfId="0" applyFont="1" applyFill="1" applyBorder="1"/>
    <xf numFmtId="9" fontId="7" fillId="3" borderId="10" xfId="1" applyFont="1" applyFill="1" applyBorder="1"/>
    <xf numFmtId="0" fontId="7" fillId="3" borderId="5" xfId="0" applyFont="1" applyFill="1" applyBorder="1"/>
    <xf numFmtId="9" fontId="7" fillId="3" borderId="5" xfId="1" applyFont="1" applyFill="1" applyBorder="1"/>
    <xf numFmtId="9" fontId="7" fillId="3" borderId="11" xfId="1" applyFont="1" applyFill="1" applyBorder="1"/>
    <xf numFmtId="0" fontId="9" fillId="4" borderId="7" xfId="0" applyFont="1" applyFill="1" applyBorder="1"/>
    <xf numFmtId="9" fontId="9" fillId="4" borderId="7" xfId="1" applyFont="1" applyFill="1" applyBorder="1"/>
    <xf numFmtId="0" fontId="9" fillId="3" borderId="7" xfId="0" applyFont="1" applyFill="1" applyBorder="1"/>
    <xf numFmtId="9" fontId="9" fillId="3" borderId="7" xfId="1" applyFont="1" applyFill="1" applyBorder="1"/>
    <xf numFmtId="0" fontId="9" fillId="4" borderId="5" xfId="0" applyFont="1" applyFill="1" applyBorder="1"/>
    <xf numFmtId="9" fontId="9" fillId="4" borderId="5" xfId="1" applyFont="1" applyFill="1" applyBorder="1"/>
    <xf numFmtId="9" fontId="7" fillId="0" borderId="0" xfId="1" applyFont="1" applyBorder="1"/>
    <xf numFmtId="9" fontId="7" fillId="0" borderId="0" xfId="1" applyFont="1" applyFill="1" applyBorder="1"/>
    <xf numFmtId="0" fontId="9" fillId="0" borderId="7" xfId="0" applyFont="1" applyBorder="1"/>
    <xf numFmtId="0" fontId="7" fillId="0" borderId="7" xfId="0" applyFont="1" applyFill="1" applyBorder="1"/>
    <xf numFmtId="9" fontId="7" fillId="0" borderId="7" xfId="1" applyFont="1" applyFill="1" applyBorder="1"/>
    <xf numFmtId="0" fontId="7" fillId="2" borderId="7" xfId="0" applyFont="1" applyFill="1" applyBorder="1"/>
    <xf numFmtId="0" fontId="7" fillId="2" borderId="0" xfId="0" applyFont="1" applyFill="1" applyBorder="1"/>
    <xf numFmtId="0" fontId="9" fillId="3" borderId="0" xfId="0" applyFont="1" applyFill="1" applyBorder="1"/>
    <xf numFmtId="0" fontId="9" fillId="5" borderId="0" xfId="0" applyFont="1" applyFill="1" applyBorder="1"/>
    <xf numFmtId="0" fontId="11" fillId="0" borderId="0" xfId="0" applyFont="1" applyFill="1"/>
    <xf numFmtId="0" fontId="9" fillId="5" borderId="2" xfId="0" applyFont="1" applyFill="1" applyBorder="1"/>
    <xf numFmtId="0" fontId="6" fillId="0" borderId="4" xfId="3" applyFont="1" applyFill="1" applyBorder="1"/>
    <xf numFmtId="9" fontId="7" fillId="4" borderId="0" xfId="0" applyNumberFormat="1" applyFont="1" applyFill="1" applyBorder="1"/>
    <xf numFmtId="9" fontId="9" fillId="5" borderId="2" xfId="1" applyFont="1" applyFill="1" applyBorder="1"/>
    <xf numFmtId="9" fontId="9" fillId="5" borderId="9" xfId="1" applyFont="1" applyFill="1" applyBorder="1"/>
    <xf numFmtId="0" fontId="8" fillId="4" borderId="1" xfId="3" applyFont="1" applyFill="1" applyBorder="1"/>
    <xf numFmtId="9" fontId="8" fillId="4" borderId="2" xfId="3" applyNumberFormat="1" applyFont="1" applyFill="1" applyBorder="1"/>
    <xf numFmtId="0" fontId="8" fillId="4" borderId="9" xfId="3" applyFont="1" applyFill="1" applyBorder="1"/>
    <xf numFmtId="10" fontId="7" fillId="4" borderId="10" xfId="0" applyNumberFormat="1" applyFont="1" applyFill="1" applyBorder="1"/>
    <xf numFmtId="10" fontId="6" fillId="4" borderId="10" xfId="3" applyNumberFormat="1" applyFont="1" applyFill="1" applyBorder="1"/>
    <xf numFmtId="9" fontId="9" fillId="4" borderId="2" xfId="0" applyNumberFormat="1" applyFont="1" applyFill="1" applyBorder="1"/>
    <xf numFmtId="9" fontId="9" fillId="3" borderId="2" xfId="0" applyNumberFormat="1" applyFont="1" applyFill="1" applyBorder="1"/>
    <xf numFmtId="0" fontId="9" fillId="2" borderId="9" xfId="0" applyFont="1" applyFill="1" applyBorder="1"/>
    <xf numFmtId="0" fontId="8" fillId="0" borderId="18" xfId="3" applyFont="1" applyFill="1" applyBorder="1"/>
    <xf numFmtId="0" fontId="9" fillId="5" borderId="6" xfId="0" applyFont="1" applyFill="1" applyBorder="1"/>
    <xf numFmtId="9" fontId="9" fillId="5" borderId="12" xfId="1" applyFont="1" applyFill="1" applyBorder="1"/>
    <xf numFmtId="0" fontId="7" fillId="5" borderId="10" xfId="0" applyFont="1" applyFill="1" applyBorder="1"/>
    <xf numFmtId="0" fontId="9" fillId="4" borderId="6" xfId="0" applyFont="1" applyFill="1" applyBorder="1"/>
    <xf numFmtId="0" fontId="7" fillId="5" borderId="7" xfId="0" applyFont="1" applyFill="1" applyBorder="1"/>
    <xf numFmtId="0" fontId="7" fillId="5" borderId="12" xfId="0" applyFont="1" applyFill="1" applyBorder="1"/>
    <xf numFmtId="0" fontId="9" fillId="3" borderId="3" xfId="0" applyFont="1" applyFill="1" applyBorder="1"/>
    <xf numFmtId="0" fontId="7" fillId="5" borderId="5" xfId="0" applyFont="1" applyFill="1" applyBorder="1"/>
    <xf numFmtId="0" fontId="7" fillId="5" borderId="11" xfId="0" applyFont="1" applyFill="1" applyBorder="1"/>
    <xf numFmtId="0" fontId="7" fillId="5" borderId="2" xfId="0" applyFont="1" applyFill="1" applyBorder="1"/>
    <xf numFmtId="0" fontId="8" fillId="4" borderId="7" xfId="3" applyFont="1" applyFill="1" applyBorder="1"/>
    <xf numFmtId="9" fontId="8" fillId="4" borderId="7" xfId="3" applyNumberFormat="1" applyFont="1" applyFill="1" applyBorder="1"/>
    <xf numFmtId="0" fontId="8" fillId="4" borderId="5" xfId="3" applyFont="1" applyFill="1" applyBorder="1"/>
    <xf numFmtId="9" fontId="8" fillId="4" borderId="5" xfId="3" applyNumberFormat="1" applyFont="1" applyFill="1" applyBorder="1"/>
    <xf numFmtId="0" fontId="8" fillId="5" borderId="5" xfId="3" applyFont="1" applyFill="1" applyBorder="1"/>
    <xf numFmtId="9" fontId="6" fillId="5" borderId="10" xfId="1" applyFont="1" applyFill="1" applyBorder="1"/>
    <xf numFmtId="0" fontId="6" fillId="5" borderId="3" xfId="3" applyNumberFormat="1" applyFont="1" applyFill="1" applyBorder="1"/>
    <xf numFmtId="0" fontId="6" fillId="5" borderId="10" xfId="3" applyFont="1" applyFill="1" applyBorder="1"/>
    <xf numFmtId="9" fontId="7" fillId="5" borderId="10" xfId="1" applyFont="1" applyFill="1" applyBorder="1"/>
    <xf numFmtId="9" fontId="9" fillId="5" borderId="2" xfId="0" applyNumberFormat="1" applyFont="1" applyFill="1" applyBorder="1"/>
    <xf numFmtId="0" fontId="7" fillId="5" borderId="9" xfId="0" applyFont="1" applyFill="1" applyBorder="1"/>
    <xf numFmtId="0" fontId="6" fillId="4" borderId="0" xfId="3" applyFont="1" applyFill="1"/>
    <xf numFmtId="0" fontId="6" fillId="4" borderId="0" xfId="3" applyNumberFormat="1" applyFont="1" applyFill="1" applyBorder="1"/>
    <xf numFmtId="0" fontId="9" fillId="4" borderId="9" xfId="0" applyFont="1" applyFill="1" applyBorder="1"/>
    <xf numFmtId="9" fontId="9" fillId="4" borderId="12" xfId="1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6" fillId="5" borderId="11" xfId="3" applyFont="1" applyFill="1" applyBorder="1"/>
    <xf numFmtId="0" fontId="9" fillId="4" borderId="4" xfId="0" applyFont="1" applyFill="1" applyBorder="1"/>
    <xf numFmtId="9" fontId="9" fillId="4" borderId="11" xfId="1" applyFont="1" applyFill="1" applyBorder="1"/>
    <xf numFmtId="9" fontId="9" fillId="5" borderId="5" xfId="1" applyFont="1" applyFill="1" applyBorder="1"/>
    <xf numFmtId="0" fontId="8" fillId="2" borderId="7" xfId="3" applyFont="1" applyFill="1" applyBorder="1"/>
    <xf numFmtId="0" fontId="8" fillId="2" borderId="5" xfId="3" applyFont="1" applyFill="1" applyBorder="1"/>
    <xf numFmtId="0" fontId="9" fillId="5" borderId="7" xfId="0" applyFont="1" applyFill="1" applyBorder="1" applyAlignment="1">
      <alignment horizontal="right"/>
    </xf>
    <xf numFmtId="9" fontId="9" fillId="5" borderId="7" xfId="1" applyFont="1" applyFill="1" applyBorder="1" applyAlignment="1">
      <alignment horizontal="right"/>
    </xf>
    <xf numFmtId="0" fontId="6" fillId="5" borderId="6" xfId="3" applyFont="1" applyFill="1" applyBorder="1"/>
    <xf numFmtId="0" fontId="6" fillId="5" borderId="7" xfId="3" applyFont="1" applyFill="1" applyBorder="1"/>
    <xf numFmtId="0" fontId="6" fillId="5" borderId="12" xfId="3" applyFont="1" applyFill="1" applyBorder="1"/>
    <xf numFmtId="0" fontId="3" fillId="0" borderId="3" xfId="3" applyFill="1" applyBorder="1"/>
    <xf numFmtId="0" fontId="2" fillId="6" borderId="7" xfId="0" applyFont="1" applyFill="1" applyBorder="1"/>
    <xf numFmtId="0" fontId="4" fillId="6" borderId="2" xfId="3" applyFont="1" applyFill="1" applyBorder="1"/>
    <xf numFmtId="0" fontId="3" fillId="6" borderId="0" xfId="3" applyFill="1" applyBorder="1"/>
    <xf numFmtId="0" fontId="3" fillId="6" borderId="5" xfId="3" applyFill="1" applyBorder="1"/>
    <xf numFmtId="0" fontId="2" fillId="8" borderId="6" xfId="0" applyFont="1" applyFill="1" applyBorder="1"/>
    <xf numFmtId="0" fontId="2" fillId="8" borderId="7" xfId="0" applyFont="1" applyFill="1" applyBorder="1"/>
    <xf numFmtId="0" fontId="2" fillId="8" borderId="12" xfId="0" applyFont="1" applyFill="1" applyBorder="1"/>
    <xf numFmtId="0" fontId="4" fillId="8" borderId="1" xfId="3" applyFont="1" applyFill="1" applyBorder="1"/>
    <xf numFmtId="0" fontId="4" fillId="8" borderId="2" xfId="3" applyFont="1" applyFill="1" applyBorder="1"/>
    <xf numFmtId="0" fontId="4" fillId="8" borderId="9" xfId="3" applyFont="1" applyFill="1" applyBorder="1"/>
    <xf numFmtId="0" fontId="4" fillId="8" borderId="3" xfId="3" applyFont="1" applyFill="1" applyBorder="1"/>
    <xf numFmtId="0" fontId="4" fillId="8" borderId="0" xfId="3" applyFont="1" applyFill="1" applyBorder="1"/>
    <xf numFmtId="0" fontId="4" fillId="8" borderId="10" xfId="3" applyFont="1" applyFill="1" applyBorder="1"/>
    <xf numFmtId="0" fontId="2" fillId="8" borderId="4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3" fillId="2" borderId="2" xfId="3" applyFill="1" applyBorder="1"/>
    <xf numFmtId="0" fontId="2" fillId="9" borderId="7" xfId="0" applyFont="1" applyFill="1" applyBorder="1"/>
    <xf numFmtId="0" fontId="2" fillId="9" borderId="2" xfId="0" applyFont="1" applyFill="1" applyBorder="1"/>
    <xf numFmtId="0" fontId="3" fillId="9" borderId="0" xfId="3" applyFill="1" applyBorder="1"/>
    <xf numFmtId="9" fontId="3" fillId="9" borderId="0" xfId="3" applyNumberFormat="1" applyFill="1" applyBorder="1"/>
    <xf numFmtId="0" fontId="4" fillId="9" borderId="2" xfId="3" applyFont="1" applyFill="1" applyBorder="1"/>
    <xf numFmtId="9" fontId="4" fillId="9" borderId="2" xfId="3" applyNumberFormat="1" applyFont="1" applyFill="1" applyBorder="1"/>
    <xf numFmtId="0" fontId="0" fillId="3" borderId="12" xfId="0" applyFill="1" applyBorder="1"/>
    <xf numFmtId="0" fontId="4" fillId="3" borderId="1" xfId="3" applyFont="1" applyFill="1" applyBorder="1"/>
    <xf numFmtId="0" fontId="3" fillId="0" borderId="3" xfId="3" applyFont="1" applyBorder="1"/>
    <xf numFmtId="0" fontId="7" fillId="0" borderId="2" xfId="0" applyFont="1" applyFill="1" applyBorder="1"/>
    <xf numFmtId="0" fontId="9" fillId="4" borderId="2" xfId="0" applyFont="1" applyFill="1" applyBorder="1" applyAlignment="1">
      <alignment horizontal="right"/>
    </xf>
    <xf numFmtId="0" fontId="9" fillId="4" borderId="1" xfId="0" applyFont="1" applyFill="1" applyBorder="1"/>
    <xf numFmtId="0" fontId="9" fillId="4" borderId="11" xfId="0" applyFont="1" applyFill="1" applyBorder="1"/>
    <xf numFmtId="10" fontId="6" fillId="10" borderId="10" xfId="3" applyNumberFormat="1" applyFont="1" applyFill="1" applyBorder="1"/>
    <xf numFmtId="0" fontId="6" fillId="10" borderId="10" xfId="1" applyNumberFormat="1" applyFont="1" applyFill="1" applyBorder="1"/>
    <xf numFmtId="9" fontId="6" fillId="10" borderId="10" xfId="3" applyNumberFormat="1" applyFont="1" applyFill="1" applyBorder="1"/>
    <xf numFmtId="0" fontId="7" fillId="10" borderId="10" xfId="0" applyFont="1" applyFill="1" applyBorder="1"/>
    <xf numFmtId="0" fontId="7" fillId="0" borderId="18" xfId="0" applyFont="1" applyFill="1" applyBorder="1"/>
    <xf numFmtId="9" fontId="8" fillId="0" borderId="0" xfId="3" applyNumberFormat="1" applyFont="1" applyFill="1" applyBorder="1"/>
    <xf numFmtId="0" fontId="8" fillId="0" borderId="1" xfId="3" applyFont="1" applyFill="1" applyBorder="1"/>
    <xf numFmtId="0" fontId="9" fillId="0" borderId="2" xfId="0" applyFont="1" applyFill="1" applyBorder="1"/>
    <xf numFmtId="0" fontId="9" fillId="0" borderId="1" xfId="0" applyFont="1" applyFill="1" applyBorder="1"/>
    <xf numFmtId="0" fontId="9" fillId="0" borderId="9" xfId="0" applyFont="1" applyFill="1" applyBorder="1"/>
    <xf numFmtId="0" fontId="8" fillId="0" borderId="2" xfId="3" applyFont="1" applyFill="1" applyBorder="1"/>
    <xf numFmtId="0" fontId="8" fillId="0" borderId="9" xfId="3" applyFont="1" applyFill="1" applyBorder="1"/>
    <xf numFmtId="0" fontId="9" fillId="0" borderId="3" xfId="0" applyFont="1" applyFill="1" applyBorder="1"/>
    <xf numFmtId="0" fontId="9" fillId="3" borderId="19" xfId="0" applyFont="1" applyFill="1" applyBorder="1"/>
    <xf numFmtId="0" fontId="9" fillId="3" borderId="20" xfId="0" applyFont="1" applyFill="1" applyBorder="1" applyAlignment="1">
      <alignment horizontal="right"/>
    </xf>
    <xf numFmtId="9" fontId="9" fillId="3" borderId="21" xfId="1" applyFont="1" applyFill="1" applyBorder="1"/>
  </cellXfs>
  <cellStyles count="4">
    <cellStyle name="Normal" xfId="0" builtinId="0"/>
    <cellStyle name="Normal 2" xfId="3"/>
    <cellStyle name="Normal 3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7</xdr:row>
      <xdr:rowOff>104776</xdr:rowOff>
    </xdr:from>
    <xdr:to>
      <xdr:col>25</xdr:col>
      <xdr:colOff>704</xdr:colOff>
      <xdr:row>17</xdr:row>
      <xdr:rowOff>66676</xdr:rowOff>
    </xdr:to>
    <xdr:sp macro="" textlink="">
      <xdr:nvSpPr>
        <xdr:cNvPr id="2" name="TextBox 1"/>
        <xdr:cNvSpPr txBox="1"/>
      </xdr:nvSpPr>
      <xdr:spPr>
        <a:xfrm>
          <a:off x="9477375" y="1266826"/>
          <a:ext cx="6325304" cy="1581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Studieårsemner</a:t>
          </a:r>
          <a:r>
            <a:rPr lang="nb-NO" sz="1100"/>
            <a:t>: </a:t>
          </a:r>
          <a:r>
            <a:rPr lang="nb-NO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Våren 2022 var det litt færre møtte kandidater på studieårsemner enn våren 2021, og langt færre enn våren 2020. </a:t>
          </a:r>
        </a:p>
        <a:p>
          <a:endParaRPr lang="nb-NO">
            <a:effectLst/>
          </a:endParaRPr>
        </a:p>
        <a:p>
          <a:r>
            <a:rPr lang="nb-NO" sz="1100" b="1"/>
            <a:t>Gjentak: </a:t>
          </a:r>
          <a:r>
            <a:rPr lang="nb-NO" sz="1100" b="0"/>
            <a:t>Andelen gjentak totalt</a:t>
          </a:r>
          <a:r>
            <a:rPr lang="nb-NO" sz="1100" b="0" baseline="0"/>
            <a:t> på MiR </a:t>
          </a:r>
          <a:r>
            <a:rPr lang="nb-NO" sz="1100" b="0"/>
            <a:t>er lavere enn på flere år.</a:t>
          </a:r>
          <a:r>
            <a:rPr lang="nb-NO" sz="1100" b="0" baseline="0"/>
            <a:t> Andelen gjentak på JUS4111 og JUS4211 har økt. Andelen gjentak på det nye emnet JUS3213 som gikk første gangen høsten 2021 er blant de høyeste.</a:t>
          </a:r>
          <a:endParaRPr lang="nb-NO" sz="1100" b="0"/>
        </a:p>
      </xdr:txBody>
    </xdr:sp>
    <xdr:clientData/>
  </xdr:twoCellAnchor>
  <xdr:twoCellAnchor>
    <xdr:from>
      <xdr:col>14</xdr:col>
      <xdr:colOff>72571</xdr:colOff>
      <xdr:row>23</xdr:row>
      <xdr:rowOff>142875</xdr:rowOff>
    </xdr:from>
    <xdr:to>
      <xdr:col>25</xdr:col>
      <xdr:colOff>19050</xdr:colOff>
      <xdr:row>32</xdr:row>
      <xdr:rowOff>28574</xdr:rowOff>
    </xdr:to>
    <xdr:sp macro="" textlink="">
      <xdr:nvSpPr>
        <xdr:cNvPr id="3" name="TextBox 2"/>
        <xdr:cNvSpPr txBox="1"/>
      </xdr:nvSpPr>
      <xdr:spPr>
        <a:xfrm>
          <a:off x="11245396" y="3933825"/>
          <a:ext cx="6337754" cy="134302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Valgemner</a:t>
          </a:r>
          <a:r>
            <a:rPr lang="nb-NO" sz="1100" b="1" baseline="0"/>
            <a:t> ba: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valgemner på ba-nivå var det noe færre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som møtte til eksamen våren 2022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enn våren 2021, og ganske likt som våren 2020.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nb-NO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Engelske og norske emner</a:t>
          </a:r>
        </a:p>
        <a:p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var langt flere kandidater på norske enn engelske valgemner på ba-nivå. Tallene for de engelske emnene er jevne de tre siste vårsemestrene, mens antallet som møtte på de norske emnene er langt lavere enn de foregående semestrene. </a:t>
          </a:r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 b="0" baseline="0"/>
        </a:p>
      </xdr:txBody>
    </xdr:sp>
    <xdr:clientData/>
  </xdr:twoCellAnchor>
  <xdr:twoCellAnchor>
    <xdr:from>
      <xdr:col>14</xdr:col>
      <xdr:colOff>90715</xdr:colOff>
      <xdr:row>55</xdr:row>
      <xdr:rowOff>152400</xdr:rowOff>
    </xdr:from>
    <xdr:to>
      <xdr:col>25</xdr:col>
      <xdr:colOff>28576</xdr:colOff>
      <xdr:row>65</xdr:row>
      <xdr:rowOff>47625</xdr:rowOff>
    </xdr:to>
    <xdr:sp macro="" textlink="">
      <xdr:nvSpPr>
        <xdr:cNvPr id="5" name="TextBox 4"/>
        <xdr:cNvSpPr txBox="1"/>
      </xdr:nvSpPr>
      <xdr:spPr>
        <a:xfrm>
          <a:off x="9501415" y="9191625"/>
          <a:ext cx="6329136" cy="15144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Valgemner ma: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valgemner på MA-nivå  var det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langt færre møtte våren 2020 enn våren 2021 og 2020. </a:t>
          </a:r>
        </a:p>
        <a:p>
          <a:endParaRPr lang="nb-NO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Engelske og norske emner</a:t>
          </a:r>
        </a:p>
        <a:p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Dette gjelder både norske og engelske valgemner. Det er særlig for de norske emnene at det er færre møtte</a:t>
          </a:r>
          <a:endParaRPr lang="nb-NO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76200</xdr:colOff>
      <xdr:row>2</xdr:row>
      <xdr:rowOff>19050</xdr:rowOff>
    </xdr:from>
    <xdr:to>
      <xdr:col>24</xdr:col>
      <xdr:colOff>578556</xdr:colOff>
      <xdr:row>6</xdr:row>
      <xdr:rowOff>0</xdr:rowOff>
    </xdr:to>
    <xdr:sp macro="" textlink="">
      <xdr:nvSpPr>
        <xdr:cNvPr id="4" name="TextBox 3"/>
        <xdr:cNvSpPr txBox="1"/>
      </xdr:nvSpPr>
      <xdr:spPr>
        <a:xfrm>
          <a:off x="9486900" y="352425"/>
          <a:ext cx="6312606" cy="6477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Våren 2022 var det færre kandidater som møtte til eksamen på studieårsemner</a:t>
          </a:r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valgemner 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enn våren 2021</a:t>
          </a:r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2020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endParaRPr lang="nb-NO" sz="1100"/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6"/>
  <sheetViews>
    <sheetView tabSelected="1" topLeftCell="A76" zoomScaleNormal="100" workbookViewId="0">
      <selection activeCell="E99" sqref="E99"/>
    </sheetView>
  </sheetViews>
  <sheetFormatPr defaultColWidth="8.7109375" defaultRowHeight="12.75" x14ac:dyDescent="0.2"/>
  <cols>
    <col min="1" max="1" width="10.5703125" style="149" customWidth="1"/>
    <col min="2" max="2" width="21.85546875" style="149" customWidth="1"/>
    <col min="3" max="3" width="9" style="149" bestFit="1" customWidth="1"/>
    <col min="4" max="6" width="9" style="149" customWidth="1"/>
    <col min="7" max="13" width="8.7109375" style="149"/>
    <col min="14" max="14" width="11.7109375" style="149" customWidth="1"/>
    <col min="15" max="16384" width="8.7109375" style="149"/>
  </cols>
  <sheetData>
    <row r="1" spans="1:14" x14ac:dyDescent="0.2">
      <c r="A1" s="148" t="s">
        <v>133</v>
      </c>
    </row>
    <row r="2" spans="1:14" ht="13.5" thickBot="1" x14ac:dyDescent="0.25"/>
    <row r="3" spans="1:14" ht="13.5" thickBot="1" x14ac:dyDescent="0.25">
      <c r="A3" s="150" t="s">
        <v>3</v>
      </c>
      <c r="B3" s="150" t="s">
        <v>4</v>
      </c>
      <c r="C3" s="189"/>
      <c r="D3" s="153" t="s">
        <v>181</v>
      </c>
      <c r="E3" s="153"/>
      <c r="F3" s="248"/>
      <c r="G3" s="152"/>
      <c r="H3" s="153" t="s">
        <v>0</v>
      </c>
      <c r="I3" s="154"/>
      <c r="J3" s="154"/>
      <c r="K3" s="155"/>
      <c r="L3" s="156" t="s">
        <v>1</v>
      </c>
      <c r="M3" s="157"/>
      <c r="N3" s="157"/>
    </row>
    <row r="4" spans="1:14" ht="13.5" thickBot="1" x14ac:dyDescent="0.25">
      <c r="A4" s="158" t="s">
        <v>5</v>
      </c>
      <c r="B4" s="290"/>
      <c r="C4" s="253" t="s">
        <v>182</v>
      </c>
      <c r="D4" s="199" t="s">
        <v>7</v>
      </c>
      <c r="E4" s="199" t="s">
        <v>8</v>
      </c>
      <c r="F4" s="293" t="s">
        <v>123</v>
      </c>
      <c r="G4" s="160" t="s">
        <v>6</v>
      </c>
      <c r="H4" s="161" t="s">
        <v>7</v>
      </c>
      <c r="I4" s="162" t="s">
        <v>8</v>
      </c>
      <c r="J4" s="163" t="s">
        <v>129</v>
      </c>
      <c r="K4" s="156" t="s">
        <v>6</v>
      </c>
      <c r="L4" s="164" t="s">
        <v>7</v>
      </c>
      <c r="M4" s="165" t="s">
        <v>8</v>
      </c>
      <c r="N4" s="165" t="s">
        <v>123</v>
      </c>
    </row>
    <row r="5" spans="1:14" x14ac:dyDescent="0.2">
      <c r="A5" s="101" t="s">
        <v>9</v>
      </c>
      <c r="B5" s="102" t="s">
        <v>10</v>
      </c>
      <c r="C5" s="166">
        <v>205</v>
      </c>
      <c r="D5" s="167">
        <v>203</v>
      </c>
      <c r="E5" s="213">
        <v>0.99</v>
      </c>
      <c r="F5" s="168"/>
      <c r="G5" s="169">
        <v>210</v>
      </c>
      <c r="H5" s="170">
        <v>206</v>
      </c>
      <c r="I5" s="171">
        <f>206/210</f>
        <v>0.98095238095238091</v>
      </c>
      <c r="J5" s="172">
        <v>1.4</v>
      </c>
      <c r="K5" s="173">
        <v>204</v>
      </c>
      <c r="L5" s="173">
        <v>200</v>
      </c>
      <c r="M5" s="174">
        <f>200/204</f>
        <v>0.98039215686274506</v>
      </c>
      <c r="N5" s="175">
        <v>8.3000000000000007</v>
      </c>
    </row>
    <row r="6" spans="1:14" x14ac:dyDescent="0.2">
      <c r="A6" s="101" t="s">
        <v>11</v>
      </c>
      <c r="B6" s="102" t="s">
        <v>12</v>
      </c>
      <c r="C6" s="166">
        <v>241</v>
      </c>
      <c r="D6" s="167">
        <v>221</v>
      </c>
      <c r="E6" s="213">
        <v>0.91</v>
      </c>
      <c r="F6" s="219">
        <v>9.5000000000000001E-2</v>
      </c>
      <c r="G6" s="169">
        <v>215</v>
      </c>
      <c r="H6" s="170">
        <v>206</v>
      </c>
      <c r="I6" s="171">
        <f>206/215</f>
        <v>0.95813953488372094</v>
      </c>
      <c r="J6" s="172">
        <v>5.6</v>
      </c>
      <c r="K6" s="173">
        <v>278</v>
      </c>
      <c r="L6" s="173">
        <v>256</v>
      </c>
      <c r="M6" s="174">
        <f>256/278</f>
        <v>0.92086330935251803</v>
      </c>
      <c r="N6" s="175">
        <v>7.6</v>
      </c>
    </row>
    <row r="7" spans="1:14" x14ac:dyDescent="0.2">
      <c r="A7" s="101" t="s">
        <v>13</v>
      </c>
      <c r="B7" s="98" t="s">
        <v>14</v>
      </c>
      <c r="C7" s="103">
        <v>220</v>
      </c>
      <c r="D7" s="104">
        <v>208</v>
      </c>
      <c r="E7" s="123">
        <v>0.94</v>
      </c>
      <c r="F7" s="220">
        <v>0.11799999999999999</v>
      </c>
      <c r="G7" s="105">
        <v>209</v>
      </c>
      <c r="H7" s="106">
        <v>193</v>
      </c>
      <c r="I7" s="171">
        <f>193/209</f>
        <v>0.92344497607655507</v>
      </c>
      <c r="J7" s="172">
        <v>7</v>
      </c>
      <c r="K7" s="107">
        <v>256</v>
      </c>
      <c r="L7" s="107">
        <v>248</v>
      </c>
      <c r="M7" s="174">
        <f>248/256</f>
        <v>0.96875</v>
      </c>
      <c r="N7" s="297">
        <v>15.6</v>
      </c>
    </row>
    <row r="8" spans="1:14" x14ac:dyDescent="0.2">
      <c r="A8" s="101" t="s">
        <v>15</v>
      </c>
      <c r="B8" s="98" t="s">
        <v>16</v>
      </c>
      <c r="C8" s="103">
        <v>205</v>
      </c>
      <c r="D8" s="104">
        <v>194</v>
      </c>
      <c r="E8" s="123">
        <v>0.94</v>
      </c>
      <c r="F8" s="220">
        <v>0.112</v>
      </c>
      <c r="G8" s="105">
        <v>217</v>
      </c>
      <c r="H8" s="106">
        <v>215</v>
      </c>
      <c r="I8" s="108">
        <f>215/217</f>
        <v>0.99078341013824889</v>
      </c>
      <c r="J8" s="109">
        <v>12</v>
      </c>
      <c r="K8" s="107">
        <v>229</v>
      </c>
      <c r="L8" s="107">
        <v>215</v>
      </c>
      <c r="M8" s="110">
        <f>215/229</f>
        <v>0.93886462882096067</v>
      </c>
      <c r="N8" s="297">
        <v>15.7</v>
      </c>
    </row>
    <row r="9" spans="1:14" x14ac:dyDescent="0.2">
      <c r="A9" s="99" t="s">
        <v>17</v>
      </c>
      <c r="B9" s="98" t="s">
        <v>18</v>
      </c>
      <c r="C9" s="103">
        <v>161</v>
      </c>
      <c r="D9" s="104">
        <v>159</v>
      </c>
      <c r="E9" s="123">
        <v>0.98</v>
      </c>
      <c r="F9" s="220">
        <v>9.7000000000000003E-2</v>
      </c>
      <c r="G9" s="169">
        <v>197</v>
      </c>
      <c r="H9" s="170">
        <v>173</v>
      </c>
      <c r="I9" s="108">
        <f>190/197</f>
        <v>0.96446700507614214</v>
      </c>
      <c r="J9" s="111">
        <v>6</v>
      </c>
      <c r="K9" s="107">
        <v>246</v>
      </c>
      <c r="L9" s="107">
        <v>220</v>
      </c>
      <c r="M9" s="110">
        <f>220/246</f>
        <v>0.89430894308943087</v>
      </c>
      <c r="N9" s="176">
        <v>8.5</v>
      </c>
    </row>
    <row r="10" spans="1:14" x14ac:dyDescent="0.2">
      <c r="A10" s="101" t="s">
        <v>111</v>
      </c>
      <c r="B10" s="98" t="s">
        <v>19</v>
      </c>
      <c r="C10" s="103">
        <v>198</v>
      </c>
      <c r="D10" s="104">
        <v>186</v>
      </c>
      <c r="E10" s="123">
        <v>0.94</v>
      </c>
      <c r="F10" s="220">
        <v>5.0999999999999997E-2</v>
      </c>
      <c r="G10" s="105">
        <v>200</v>
      </c>
      <c r="H10" s="106">
        <v>112</v>
      </c>
      <c r="I10" s="112">
        <v>0.56000000000000005</v>
      </c>
      <c r="J10" s="113"/>
      <c r="K10" s="107"/>
      <c r="L10" s="107"/>
      <c r="M10" s="110"/>
      <c r="N10" s="177"/>
    </row>
    <row r="11" spans="1:14" x14ac:dyDescent="0.2">
      <c r="A11" s="101" t="s">
        <v>184</v>
      </c>
      <c r="B11" s="98" t="s">
        <v>20</v>
      </c>
      <c r="C11" s="103">
        <v>35</v>
      </c>
      <c r="D11" s="104">
        <v>25</v>
      </c>
      <c r="E11" s="123">
        <v>0.71</v>
      </c>
      <c r="F11" s="124">
        <v>0.6</v>
      </c>
      <c r="G11" s="105">
        <v>250</v>
      </c>
      <c r="H11" s="106">
        <v>237</v>
      </c>
      <c r="I11" s="108">
        <f>237/250</f>
        <v>0.94799999999999995</v>
      </c>
      <c r="J11" s="295">
        <v>14.4</v>
      </c>
      <c r="K11" s="107">
        <v>302</v>
      </c>
      <c r="L11" s="107">
        <v>288</v>
      </c>
      <c r="M11" s="110">
        <f>288/302</f>
        <v>0.95364238410596025</v>
      </c>
      <c r="N11" s="175">
        <v>17.899999999999999</v>
      </c>
    </row>
    <row r="12" spans="1:14" x14ac:dyDescent="0.2">
      <c r="A12" s="101" t="s">
        <v>207</v>
      </c>
      <c r="B12" s="98" t="s">
        <v>20</v>
      </c>
      <c r="C12" s="103">
        <v>198</v>
      </c>
      <c r="D12" s="104">
        <v>182</v>
      </c>
      <c r="E12" s="123">
        <v>0.92</v>
      </c>
      <c r="F12" s="294">
        <v>0.151</v>
      </c>
      <c r="G12" s="105"/>
      <c r="H12" s="106"/>
      <c r="I12" s="108"/>
      <c r="J12" s="109"/>
      <c r="K12" s="107"/>
      <c r="L12" s="107"/>
      <c r="M12" s="110"/>
      <c r="N12" s="175"/>
    </row>
    <row r="13" spans="1:14" x14ac:dyDescent="0.2">
      <c r="A13" s="101" t="s">
        <v>21</v>
      </c>
      <c r="B13" s="98" t="s">
        <v>22</v>
      </c>
      <c r="C13" s="103">
        <v>199</v>
      </c>
      <c r="D13" s="104">
        <v>185</v>
      </c>
      <c r="E13" s="123">
        <v>0.93</v>
      </c>
      <c r="F13" s="220">
        <v>3.5000000000000003E-2</v>
      </c>
      <c r="G13" s="105">
        <v>433</v>
      </c>
      <c r="H13" s="106">
        <v>420</v>
      </c>
      <c r="I13" s="108">
        <f>402/433</f>
        <v>0.92840646651270209</v>
      </c>
      <c r="J13" s="109">
        <v>6.9</v>
      </c>
      <c r="K13" s="107">
        <v>194</v>
      </c>
      <c r="L13" s="107">
        <v>187</v>
      </c>
      <c r="M13" s="110">
        <f>187/194</f>
        <v>0.96391752577319589</v>
      </c>
      <c r="N13" s="175">
        <v>4.5999999999999996</v>
      </c>
    </row>
    <row r="14" spans="1:14" x14ac:dyDescent="0.2">
      <c r="A14" s="101" t="s">
        <v>23</v>
      </c>
      <c r="B14" s="98" t="s">
        <v>24</v>
      </c>
      <c r="C14" s="103">
        <v>249</v>
      </c>
      <c r="D14" s="104">
        <v>223</v>
      </c>
      <c r="E14" s="123">
        <v>0.89</v>
      </c>
      <c r="F14" s="296">
        <v>0.21</v>
      </c>
      <c r="G14" s="105">
        <v>256</v>
      </c>
      <c r="H14" s="106">
        <v>228</v>
      </c>
      <c r="I14" s="108">
        <f>228/256</f>
        <v>0.890625</v>
      </c>
      <c r="J14" s="109">
        <v>11.3</v>
      </c>
      <c r="K14" s="107">
        <v>308</v>
      </c>
      <c r="L14" s="107">
        <v>299</v>
      </c>
      <c r="M14" s="110">
        <f>299/308</f>
        <v>0.97077922077922074</v>
      </c>
      <c r="N14" s="297">
        <v>14.4</v>
      </c>
    </row>
    <row r="15" spans="1:14" x14ac:dyDescent="0.2">
      <c r="A15" s="101" t="s">
        <v>25</v>
      </c>
      <c r="B15" s="98" t="s">
        <v>26</v>
      </c>
      <c r="C15" s="103">
        <v>285</v>
      </c>
      <c r="D15" s="104">
        <v>266</v>
      </c>
      <c r="E15" s="123">
        <v>0.93</v>
      </c>
      <c r="F15" s="294">
        <v>0.24199999999999999</v>
      </c>
      <c r="G15" s="105">
        <v>293</v>
      </c>
      <c r="H15" s="106">
        <v>228</v>
      </c>
      <c r="I15" s="108">
        <f>228/293</f>
        <v>0.77815699658703075</v>
      </c>
      <c r="J15" s="295">
        <v>17.3</v>
      </c>
      <c r="K15" s="107">
        <v>292</v>
      </c>
      <c r="L15" s="107">
        <v>279</v>
      </c>
      <c r="M15" s="110">
        <f>279/292</f>
        <v>0.95547945205479456</v>
      </c>
      <c r="N15" s="297">
        <v>13.4</v>
      </c>
    </row>
    <row r="16" spans="1:14" x14ac:dyDescent="0.2">
      <c r="A16" s="101" t="s">
        <v>27</v>
      </c>
      <c r="B16" s="98" t="s">
        <v>28</v>
      </c>
      <c r="C16" s="103">
        <v>249</v>
      </c>
      <c r="D16" s="104">
        <v>223</v>
      </c>
      <c r="E16" s="123">
        <v>0.89</v>
      </c>
      <c r="F16" s="220">
        <v>3.3000000000000002E-2</v>
      </c>
      <c r="G16" s="105">
        <v>113</v>
      </c>
      <c r="H16" s="106">
        <v>99</v>
      </c>
      <c r="I16" s="171">
        <f>99/113</f>
        <v>0.87610619469026552</v>
      </c>
      <c r="J16" s="172">
        <v>11.5</v>
      </c>
      <c r="K16" s="173">
        <v>135</v>
      </c>
      <c r="L16" s="173">
        <v>129</v>
      </c>
      <c r="M16" s="174">
        <f>129/135</f>
        <v>0.9555555555555556</v>
      </c>
      <c r="N16" s="175">
        <v>6.8</v>
      </c>
    </row>
    <row r="17" spans="1:25" x14ac:dyDescent="0.2">
      <c r="A17" s="101" t="s">
        <v>29</v>
      </c>
      <c r="B17" s="98" t="s">
        <v>30</v>
      </c>
      <c r="C17" s="103">
        <v>60</v>
      </c>
      <c r="D17" s="104">
        <v>57</v>
      </c>
      <c r="E17" s="123">
        <v>0.95</v>
      </c>
      <c r="F17" s="220">
        <v>3.4000000000000002E-2</v>
      </c>
      <c r="G17" s="105">
        <v>74</v>
      </c>
      <c r="H17" s="106">
        <v>73</v>
      </c>
      <c r="I17" s="108">
        <f>73/74</f>
        <v>0.98648648648648651</v>
      </c>
      <c r="J17" s="109">
        <v>4.0999999999999996</v>
      </c>
      <c r="K17" s="107">
        <v>153</v>
      </c>
      <c r="L17" s="107">
        <v>141</v>
      </c>
      <c r="M17" s="110">
        <f>141/153</f>
        <v>0.92156862745098034</v>
      </c>
      <c r="N17" s="175">
        <v>3.9</v>
      </c>
    </row>
    <row r="18" spans="1:25" ht="13.5" thickBot="1" x14ac:dyDescent="0.25">
      <c r="A18" s="101" t="s">
        <v>31</v>
      </c>
      <c r="B18" s="100" t="s">
        <v>32</v>
      </c>
      <c r="C18" s="103">
        <v>49</v>
      </c>
      <c r="D18" s="104">
        <v>36</v>
      </c>
      <c r="E18" s="123">
        <v>0.74</v>
      </c>
      <c r="F18" s="220">
        <v>4.1000000000000002E-2</v>
      </c>
      <c r="G18" s="105">
        <v>75</v>
      </c>
      <c r="H18" s="106">
        <v>58</v>
      </c>
      <c r="I18" s="171">
        <f>58/75</f>
        <v>0.77333333333333332</v>
      </c>
      <c r="J18" s="172">
        <v>4</v>
      </c>
      <c r="K18" s="173">
        <v>68</v>
      </c>
      <c r="L18" s="173">
        <v>58</v>
      </c>
      <c r="M18" s="174">
        <f>58/68</f>
        <v>0.8529411764705882</v>
      </c>
      <c r="N18" s="175">
        <v>7.5</v>
      </c>
    </row>
    <row r="19" spans="1:25" ht="13.5" thickBot="1" x14ac:dyDescent="0.25">
      <c r="A19" s="178"/>
      <c r="B19" s="114" t="s">
        <v>33</v>
      </c>
      <c r="C19" s="216">
        <f>SUM(C5:C18)</f>
        <v>2554</v>
      </c>
      <c r="D19" s="134">
        <f>SUM(D5:D18)</f>
        <v>2368</v>
      </c>
      <c r="E19" s="217">
        <v>0.93</v>
      </c>
      <c r="F19" s="218"/>
      <c r="G19" s="160">
        <f>SUM(G5:G18)</f>
        <v>2742</v>
      </c>
      <c r="H19" s="211">
        <f>SUM(H5:H18)</f>
        <v>2448</v>
      </c>
      <c r="I19" s="214">
        <f>2448/2742</f>
        <v>0.89277899343544853</v>
      </c>
      <c r="J19" s="215"/>
      <c r="K19" s="181">
        <v>3028</v>
      </c>
      <c r="L19" s="181">
        <v>2846</v>
      </c>
      <c r="M19" s="182">
        <f>2846/3028</f>
        <v>0.939894319682959</v>
      </c>
      <c r="N19" s="183"/>
    </row>
    <row r="20" spans="1:25" x14ac:dyDescent="0.2">
      <c r="A20" s="102" t="s">
        <v>205</v>
      </c>
      <c r="B20" s="115"/>
      <c r="C20" s="115"/>
      <c r="D20" s="115"/>
      <c r="E20" s="299"/>
      <c r="F20" s="115"/>
      <c r="G20" s="116"/>
      <c r="H20" s="116"/>
      <c r="I20" s="139"/>
      <c r="J20" s="139"/>
      <c r="K20" s="116"/>
      <c r="L20" s="116"/>
      <c r="M20" s="139"/>
      <c r="N20" s="117"/>
    </row>
    <row r="21" spans="1:25" x14ac:dyDescent="0.2">
      <c r="A21" s="149" t="s">
        <v>208</v>
      </c>
      <c r="B21" s="115"/>
      <c r="C21" s="115"/>
      <c r="D21" s="115"/>
      <c r="E21" s="115"/>
      <c r="F21" s="115"/>
      <c r="G21" s="184"/>
      <c r="H21" s="116"/>
      <c r="I21" s="139"/>
      <c r="J21" s="139"/>
      <c r="K21" s="116"/>
      <c r="L21" s="116"/>
      <c r="M21" s="139"/>
      <c r="N21" s="117"/>
    </row>
    <row r="22" spans="1:25" ht="13.5" thickBot="1" x14ac:dyDescent="0.25">
      <c r="A22" s="150" t="s">
        <v>3</v>
      </c>
      <c r="B22" s="150" t="s">
        <v>4</v>
      </c>
      <c r="C22" s="150"/>
      <c r="D22" s="150"/>
      <c r="E22" s="150"/>
      <c r="F22" s="150"/>
      <c r="I22" s="185"/>
      <c r="J22" s="185"/>
      <c r="K22" s="184"/>
      <c r="L22" s="184"/>
      <c r="M22" s="185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</row>
    <row r="23" spans="1:25" ht="13.5" thickBot="1" x14ac:dyDescent="0.25">
      <c r="A23" s="158" t="s">
        <v>34</v>
      </c>
      <c r="B23" s="298"/>
      <c r="C23" s="153" t="s">
        <v>182</v>
      </c>
      <c r="D23" s="153" t="s">
        <v>7</v>
      </c>
      <c r="E23" s="153" t="s">
        <v>8</v>
      </c>
      <c r="F23" s="152"/>
      <c r="G23" s="160" t="s">
        <v>6</v>
      </c>
      <c r="H23" s="161" t="s">
        <v>7</v>
      </c>
      <c r="I23" s="162" t="s">
        <v>8</v>
      </c>
      <c r="J23" s="163"/>
      <c r="K23" s="156" t="s">
        <v>6</v>
      </c>
      <c r="L23" s="164" t="s">
        <v>7</v>
      </c>
      <c r="M23" s="165" t="s">
        <v>8</v>
      </c>
      <c r="N23" s="187"/>
      <c r="O23" s="116"/>
      <c r="P23" s="117"/>
      <c r="Q23" s="116"/>
      <c r="R23" s="118"/>
      <c r="S23" s="119"/>
      <c r="T23" s="116"/>
      <c r="U23" s="117"/>
      <c r="V23" s="117"/>
      <c r="W23" s="116"/>
      <c r="X23" s="118"/>
      <c r="Y23" s="119"/>
    </row>
    <row r="24" spans="1:25" x14ac:dyDescent="0.2">
      <c r="A24" s="100" t="s">
        <v>35</v>
      </c>
      <c r="B24" s="120" t="s">
        <v>36</v>
      </c>
      <c r="C24" s="246">
        <v>11</v>
      </c>
      <c r="D24" s="246">
        <v>11</v>
      </c>
      <c r="E24" s="246">
        <v>100</v>
      </c>
      <c r="F24" s="246"/>
      <c r="G24" s="105">
        <v>14</v>
      </c>
      <c r="H24" s="106">
        <v>13</v>
      </c>
      <c r="I24" s="108">
        <f>13/14</f>
        <v>0.9285714285714286</v>
      </c>
      <c r="J24" s="240"/>
      <c r="K24" s="121">
        <v>8</v>
      </c>
      <c r="L24" s="121">
        <v>8</v>
      </c>
      <c r="M24" s="110">
        <v>1</v>
      </c>
      <c r="N24" s="110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</row>
    <row r="25" spans="1:25" x14ac:dyDescent="0.2">
      <c r="A25" s="100" t="s">
        <v>37</v>
      </c>
      <c r="B25" s="120" t="s">
        <v>200</v>
      </c>
      <c r="C25" s="246">
        <v>5</v>
      </c>
      <c r="D25" s="246">
        <v>5</v>
      </c>
      <c r="E25" s="246">
        <v>100</v>
      </c>
      <c r="F25" s="246"/>
      <c r="G25" s="105" t="s">
        <v>201</v>
      </c>
      <c r="H25" s="106"/>
      <c r="I25" s="108"/>
      <c r="J25" s="240"/>
      <c r="K25" s="121">
        <v>8</v>
      </c>
      <c r="L25" s="121">
        <v>7</v>
      </c>
      <c r="M25" s="110">
        <f>7/8</f>
        <v>0.875</v>
      </c>
      <c r="N25" s="110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</row>
    <row r="26" spans="1:25" x14ac:dyDescent="0.2">
      <c r="A26" s="100" t="s">
        <v>38</v>
      </c>
      <c r="B26" s="120" t="s">
        <v>39</v>
      </c>
      <c r="C26" s="104">
        <v>211</v>
      </c>
      <c r="D26" s="104">
        <v>88</v>
      </c>
      <c r="E26" s="104">
        <v>42</v>
      </c>
      <c r="F26" s="104"/>
      <c r="G26" s="241">
        <v>209</v>
      </c>
      <c r="H26" s="106">
        <v>110</v>
      </c>
      <c r="I26" s="106">
        <v>52</v>
      </c>
      <c r="J26" s="242"/>
      <c r="K26" s="121">
        <v>182</v>
      </c>
      <c r="L26" s="121">
        <v>109</v>
      </c>
      <c r="M26" s="110">
        <f>109/182</f>
        <v>0.59890109890109888</v>
      </c>
      <c r="N26" s="110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</row>
    <row r="27" spans="1:25" x14ac:dyDescent="0.2">
      <c r="A27" s="122" t="s">
        <v>40</v>
      </c>
      <c r="B27" s="120" t="s">
        <v>41</v>
      </c>
      <c r="C27" s="104">
        <v>120</v>
      </c>
      <c r="D27" s="104">
        <v>72</v>
      </c>
      <c r="E27" s="104">
        <v>60</v>
      </c>
      <c r="F27" s="104"/>
      <c r="G27" s="105">
        <v>132</v>
      </c>
      <c r="H27" s="106">
        <v>71</v>
      </c>
      <c r="I27" s="106">
        <v>54</v>
      </c>
      <c r="J27" s="242"/>
      <c r="K27" s="121">
        <v>112</v>
      </c>
      <c r="L27" s="121">
        <v>60</v>
      </c>
      <c r="M27" s="110">
        <f>60/112</f>
        <v>0.5357142857142857</v>
      </c>
      <c r="N27" s="110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</row>
    <row r="28" spans="1:25" x14ac:dyDescent="0.2">
      <c r="A28" s="122" t="s">
        <v>42</v>
      </c>
      <c r="B28" s="120" t="s">
        <v>43</v>
      </c>
      <c r="C28" s="104">
        <v>55</v>
      </c>
      <c r="D28" s="104">
        <v>41</v>
      </c>
      <c r="E28" s="104">
        <v>74</v>
      </c>
      <c r="F28" s="104"/>
      <c r="G28" s="105">
        <v>99</v>
      </c>
      <c r="H28" s="106">
        <v>54</v>
      </c>
      <c r="I28" s="106">
        <v>54.5</v>
      </c>
      <c r="J28" s="242"/>
      <c r="K28" s="121">
        <v>72</v>
      </c>
      <c r="L28" s="121">
        <v>33</v>
      </c>
      <c r="M28" s="110">
        <f>33/72</f>
        <v>0.45833333333333331</v>
      </c>
      <c r="N28" s="110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</row>
    <row r="29" spans="1:25" x14ac:dyDescent="0.2">
      <c r="A29" s="122" t="s">
        <v>44</v>
      </c>
      <c r="B29" s="120" t="s">
        <v>45</v>
      </c>
      <c r="C29" s="104">
        <v>44</v>
      </c>
      <c r="D29" s="104">
        <v>28</v>
      </c>
      <c r="E29" s="104">
        <v>64</v>
      </c>
      <c r="F29" s="104"/>
      <c r="G29" s="105">
        <v>63</v>
      </c>
      <c r="H29" s="106">
        <v>30</v>
      </c>
      <c r="I29" s="106">
        <v>48</v>
      </c>
      <c r="J29" s="242"/>
      <c r="K29" s="121">
        <v>48</v>
      </c>
      <c r="L29" s="121">
        <v>36</v>
      </c>
      <c r="M29" s="110">
        <f>36/48</f>
        <v>0.75</v>
      </c>
      <c r="N29" s="110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</row>
    <row r="30" spans="1:25" x14ac:dyDescent="0.2">
      <c r="A30" s="122" t="s">
        <v>46</v>
      </c>
      <c r="B30" s="120" t="s">
        <v>47</v>
      </c>
      <c r="C30" s="104">
        <v>15</v>
      </c>
      <c r="D30" s="104">
        <v>13</v>
      </c>
      <c r="E30" s="104">
        <v>87</v>
      </c>
      <c r="F30" s="104"/>
      <c r="G30" s="105">
        <v>29</v>
      </c>
      <c r="H30" s="106">
        <v>23</v>
      </c>
      <c r="I30" s="106">
        <v>79</v>
      </c>
      <c r="J30" s="242"/>
      <c r="K30" s="121">
        <v>12</v>
      </c>
      <c r="L30" s="121">
        <v>12</v>
      </c>
      <c r="M30" s="110">
        <v>1</v>
      </c>
      <c r="N30" s="110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</row>
    <row r="31" spans="1:25" x14ac:dyDescent="0.2">
      <c r="A31" s="122" t="s">
        <v>112</v>
      </c>
      <c r="B31" s="120" t="s">
        <v>194</v>
      </c>
      <c r="C31" s="104">
        <v>56</v>
      </c>
      <c r="D31" s="104">
        <v>27</v>
      </c>
      <c r="E31" s="104">
        <v>48</v>
      </c>
      <c r="F31" s="104"/>
      <c r="G31" s="105">
        <v>17</v>
      </c>
      <c r="H31" s="106">
        <v>2</v>
      </c>
      <c r="I31" s="112">
        <v>0.12</v>
      </c>
      <c r="J31" s="113"/>
      <c r="K31" s="121"/>
      <c r="L31" s="121"/>
      <c r="M31" s="110"/>
      <c r="N31" s="110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</row>
    <row r="32" spans="1:25" x14ac:dyDescent="0.2">
      <c r="A32" s="122" t="s">
        <v>48</v>
      </c>
      <c r="B32" s="120" t="s">
        <v>49</v>
      </c>
      <c r="C32" s="104">
        <v>8</v>
      </c>
      <c r="D32" s="104">
        <v>2</v>
      </c>
      <c r="E32" s="104">
        <v>25</v>
      </c>
      <c r="F32" s="104"/>
      <c r="G32" s="105">
        <v>58</v>
      </c>
      <c r="H32" s="106">
        <v>28</v>
      </c>
      <c r="I32" s="112">
        <v>0.48</v>
      </c>
      <c r="J32" s="242"/>
      <c r="K32" s="121">
        <v>74</v>
      </c>
      <c r="L32" s="121">
        <v>31</v>
      </c>
      <c r="M32" s="110">
        <f>31/74</f>
        <v>0.41891891891891891</v>
      </c>
      <c r="N32" s="110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</row>
    <row r="33" spans="1:25" x14ac:dyDescent="0.2">
      <c r="A33" s="122" t="s">
        <v>185</v>
      </c>
      <c r="B33" s="120" t="s">
        <v>195</v>
      </c>
      <c r="C33" s="104">
        <v>46</v>
      </c>
      <c r="D33" s="104">
        <v>27</v>
      </c>
      <c r="E33" s="104">
        <v>59</v>
      </c>
      <c r="F33" s="104"/>
      <c r="G33" s="105"/>
      <c r="H33" s="106"/>
      <c r="I33" s="112"/>
      <c r="J33" s="242"/>
      <c r="K33" s="121"/>
      <c r="L33" s="121"/>
      <c r="M33" s="110"/>
      <c r="N33" s="110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</row>
    <row r="34" spans="1:25" x14ac:dyDescent="0.2">
      <c r="A34" s="122" t="s">
        <v>50</v>
      </c>
      <c r="B34" s="120" t="s">
        <v>51</v>
      </c>
      <c r="C34" s="104">
        <v>31</v>
      </c>
      <c r="D34" s="104">
        <v>10</v>
      </c>
      <c r="E34" s="104">
        <v>32</v>
      </c>
      <c r="F34" s="104"/>
      <c r="G34" s="105">
        <v>36</v>
      </c>
      <c r="H34" s="106">
        <v>16</v>
      </c>
      <c r="I34" s="106">
        <v>44</v>
      </c>
      <c r="J34" s="242"/>
      <c r="K34" s="121">
        <v>40</v>
      </c>
      <c r="L34" s="121">
        <v>15</v>
      </c>
      <c r="M34" s="110">
        <f>15/40</f>
        <v>0.375</v>
      </c>
      <c r="N34" s="110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</row>
    <row r="35" spans="1:25" x14ac:dyDescent="0.2">
      <c r="A35" s="122" t="s">
        <v>52</v>
      </c>
      <c r="B35" s="120" t="s">
        <v>53</v>
      </c>
      <c r="C35" s="104">
        <v>178</v>
      </c>
      <c r="D35" s="104">
        <v>101</v>
      </c>
      <c r="E35" s="104">
        <v>56</v>
      </c>
      <c r="F35" s="104"/>
      <c r="G35" s="105">
        <v>291</v>
      </c>
      <c r="H35" s="106">
        <v>138</v>
      </c>
      <c r="I35" s="106">
        <v>47</v>
      </c>
      <c r="J35" s="242"/>
      <c r="K35" s="121">
        <v>144</v>
      </c>
      <c r="L35" s="121">
        <v>112</v>
      </c>
      <c r="M35" s="110">
        <f>112/144</f>
        <v>0.77777777777777779</v>
      </c>
      <c r="N35" s="110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</row>
    <row r="36" spans="1:25" x14ac:dyDescent="0.2">
      <c r="A36" s="122" t="s">
        <v>54</v>
      </c>
      <c r="B36" s="120" t="s">
        <v>55</v>
      </c>
      <c r="C36" s="104">
        <v>135</v>
      </c>
      <c r="D36" s="104">
        <v>71</v>
      </c>
      <c r="E36" s="104">
        <v>53</v>
      </c>
      <c r="F36" s="104"/>
      <c r="G36" s="105">
        <v>204</v>
      </c>
      <c r="H36" s="106">
        <v>90</v>
      </c>
      <c r="I36" s="106">
        <v>44</v>
      </c>
      <c r="J36" s="242"/>
      <c r="K36" s="121">
        <v>167</v>
      </c>
      <c r="L36" s="121">
        <v>81</v>
      </c>
      <c r="M36" s="110">
        <f>81/167</f>
        <v>0.48502994011976047</v>
      </c>
      <c r="N36" s="110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</row>
    <row r="37" spans="1:25" x14ac:dyDescent="0.2">
      <c r="A37" s="122" t="s">
        <v>56</v>
      </c>
      <c r="B37" s="120" t="s">
        <v>57</v>
      </c>
      <c r="C37" s="104">
        <v>72</v>
      </c>
      <c r="D37" s="104">
        <v>53</v>
      </c>
      <c r="E37" s="104">
        <v>73</v>
      </c>
      <c r="F37" s="104"/>
      <c r="G37" s="105">
        <v>63</v>
      </c>
      <c r="H37" s="106">
        <v>39</v>
      </c>
      <c r="I37" s="108">
        <f>39/63</f>
        <v>0.61904761904761907</v>
      </c>
      <c r="J37" s="240"/>
      <c r="K37" s="121">
        <v>71</v>
      </c>
      <c r="L37" s="121">
        <v>48</v>
      </c>
      <c r="M37" s="110">
        <f>48/71</f>
        <v>0.676056338028169</v>
      </c>
      <c r="N37" s="110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</row>
    <row r="38" spans="1:25" x14ac:dyDescent="0.2">
      <c r="A38" s="122" t="s">
        <v>58</v>
      </c>
      <c r="B38" s="120" t="s">
        <v>59</v>
      </c>
      <c r="C38" s="104">
        <v>56</v>
      </c>
      <c r="D38" s="104">
        <v>44</v>
      </c>
      <c r="E38" s="104">
        <v>79</v>
      </c>
      <c r="F38" s="104"/>
      <c r="G38" s="105">
        <v>50</v>
      </c>
      <c r="H38" s="106">
        <v>21</v>
      </c>
      <c r="I38" s="108">
        <f>21/50</f>
        <v>0.42</v>
      </c>
      <c r="J38" s="240"/>
      <c r="K38" s="107">
        <v>66</v>
      </c>
      <c r="L38" s="107">
        <v>34</v>
      </c>
      <c r="M38" s="110">
        <f>34/66</f>
        <v>0.51515151515151514</v>
      </c>
      <c r="N38" s="110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</row>
    <row r="39" spans="1:25" x14ac:dyDescent="0.2">
      <c r="A39" s="122" t="s">
        <v>113</v>
      </c>
      <c r="B39" s="120" t="s">
        <v>114</v>
      </c>
      <c r="C39" s="104" t="s">
        <v>199</v>
      </c>
      <c r="D39" s="104"/>
      <c r="E39" s="104"/>
      <c r="F39" s="104"/>
      <c r="G39" s="105">
        <v>75</v>
      </c>
      <c r="H39" s="106">
        <v>27</v>
      </c>
      <c r="I39" s="108">
        <f>27/75</f>
        <v>0.36</v>
      </c>
      <c r="J39" s="240"/>
      <c r="K39" s="107"/>
      <c r="L39" s="107"/>
      <c r="M39" s="110"/>
      <c r="N39" s="110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</row>
    <row r="40" spans="1:25" x14ac:dyDescent="0.2">
      <c r="A40" s="122" t="s">
        <v>60</v>
      </c>
      <c r="B40" s="120" t="s">
        <v>61</v>
      </c>
      <c r="C40" s="104">
        <v>105</v>
      </c>
      <c r="D40" s="104">
        <v>62</v>
      </c>
      <c r="E40" s="104">
        <v>59</v>
      </c>
      <c r="F40" s="104"/>
      <c r="G40" s="105">
        <v>146</v>
      </c>
      <c r="H40" s="106">
        <v>80</v>
      </c>
      <c r="I40" s="112">
        <v>0.55000000000000004</v>
      </c>
      <c r="J40" s="242"/>
      <c r="K40" s="173">
        <v>101</v>
      </c>
      <c r="L40" s="173">
        <v>59</v>
      </c>
      <c r="M40" s="174">
        <f>59/101</f>
        <v>0.58415841584158412</v>
      </c>
      <c r="N40" s="174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</row>
    <row r="41" spans="1:25" x14ac:dyDescent="0.2">
      <c r="A41" s="122" t="s">
        <v>62</v>
      </c>
      <c r="B41" s="120" t="s">
        <v>63</v>
      </c>
      <c r="C41" s="104">
        <v>11</v>
      </c>
      <c r="D41" s="104">
        <v>10</v>
      </c>
      <c r="E41" s="247">
        <v>90</v>
      </c>
      <c r="F41" s="104"/>
      <c r="G41" s="169">
        <v>19</v>
      </c>
      <c r="H41" s="170">
        <v>19</v>
      </c>
      <c r="I41" s="171">
        <v>1</v>
      </c>
      <c r="J41" s="243"/>
      <c r="K41" s="177">
        <v>6</v>
      </c>
      <c r="L41" s="177">
        <v>6</v>
      </c>
      <c r="M41" s="188">
        <v>1</v>
      </c>
      <c r="N41" s="188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</row>
    <row r="42" spans="1:25" x14ac:dyDescent="0.2">
      <c r="A42" s="122" t="s">
        <v>64</v>
      </c>
      <c r="B42" s="120" t="s">
        <v>65</v>
      </c>
      <c r="C42" s="104">
        <v>59</v>
      </c>
      <c r="D42" s="104">
        <v>20</v>
      </c>
      <c r="E42" s="104">
        <v>34</v>
      </c>
      <c r="F42" s="104"/>
      <c r="G42" s="105">
        <v>68</v>
      </c>
      <c r="H42" s="106">
        <v>28</v>
      </c>
      <c r="I42" s="106">
        <v>41</v>
      </c>
      <c r="J42" s="242"/>
      <c r="K42" s="177">
        <v>74</v>
      </c>
      <c r="L42" s="177">
        <v>23</v>
      </c>
      <c r="M42" s="188">
        <f>23/74</f>
        <v>0.3108108108108108</v>
      </c>
      <c r="N42" s="188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</row>
    <row r="43" spans="1:25" x14ac:dyDescent="0.2">
      <c r="A43" s="122" t="s">
        <v>66</v>
      </c>
      <c r="B43" s="120" t="s">
        <v>67</v>
      </c>
      <c r="C43" s="104">
        <v>78</v>
      </c>
      <c r="D43" s="104">
        <v>42</v>
      </c>
      <c r="E43" s="104">
        <v>54</v>
      </c>
      <c r="F43" s="104"/>
      <c r="G43" s="169">
        <v>84</v>
      </c>
      <c r="H43" s="170">
        <v>42</v>
      </c>
      <c r="I43" s="171">
        <v>0.5</v>
      </c>
      <c r="J43" s="243"/>
      <c r="K43" s="177">
        <v>96</v>
      </c>
      <c r="L43" s="177">
        <v>69</v>
      </c>
      <c r="M43" s="188">
        <f>69/96</f>
        <v>0.71875</v>
      </c>
      <c r="N43" s="188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5" x14ac:dyDescent="0.2">
      <c r="A44" s="122" t="s">
        <v>68</v>
      </c>
      <c r="B44" s="120" t="s">
        <v>69</v>
      </c>
      <c r="C44" s="104">
        <v>99</v>
      </c>
      <c r="D44" s="104">
        <v>48</v>
      </c>
      <c r="E44" s="104">
        <v>49</v>
      </c>
      <c r="F44" s="104"/>
      <c r="G44" s="105">
        <v>132</v>
      </c>
      <c r="H44" s="106">
        <v>60</v>
      </c>
      <c r="I44" s="106">
        <v>45</v>
      </c>
      <c r="J44" s="242"/>
      <c r="K44" s="177">
        <v>89</v>
      </c>
      <c r="L44" s="177">
        <v>46</v>
      </c>
      <c r="M44" s="188">
        <f>46/89</f>
        <v>0.5168539325842697</v>
      </c>
      <c r="N44" s="188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</row>
    <row r="45" spans="1:25" x14ac:dyDescent="0.2">
      <c r="A45" s="122" t="s">
        <v>70</v>
      </c>
      <c r="B45" s="120" t="s">
        <v>71</v>
      </c>
      <c r="C45" s="104">
        <v>151</v>
      </c>
      <c r="D45" s="104">
        <v>92</v>
      </c>
      <c r="E45" s="104">
        <v>61</v>
      </c>
      <c r="F45" s="104"/>
      <c r="G45" s="105">
        <v>188</v>
      </c>
      <c r="H45" s="106">
        <v>106</v>
      </c>
      <c r="I45" s="106">
        <v>56</v>
      </c>
      <c r="J45" s="242"/>
      <c r="K45" s="177">
        <v>96</v>
      </c>
      <c r="L45" s="177">
        <v>74</v>
      </c>
      <c r="M45" s="188">
        <f>74/96</f>
        <v>0.77083333333333337</v>
      </c>
      <c r="N45" s="188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</row>
    <row r="46" spans="1:25" ht="13.5" thickBot="1" x14ac:dyDescent="0.25">
      <c r="A46" s="122" t="s">
        <v>72</v>
      </c>
      <c r="B46" s="120" t="s">
        <v>73</v>
      </c>
      <c r="C46" s="104">
        <v>126</v>
      </c>
      <c r="D46" s="104">
        <v>55</v>
      </c>
      <c r="E46" s="104">
        <v>44</v>
      </c>
      <c r="F46" s="104"/>
      <c r="G46" s="105">
        <v>137</v>
      </c>
      <c r="H46" s="106">
        <v>62</v>
      </c>
      <c r="I46" s="106">
        <v>45</v>
      </c>
      <c r="J46" s="242"/>
      <c r="K46" s="177">
        <v>108</v>
      </c>
      <c r="L46" s="177">
        <v>61</v>
      </c>
      <c r="M46" s="188">
        <f>61/108</f>
        <v>0.56481481481481477</v>
      </c>
      <c r="N46" s="188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</row>
    <row r="47" spans="1:25" ht="13.5" thickBot="1" x14ac:dyDescent="0.25">
      <c r="A47" s="151"/>
      <c r="B47" s="224" t="s">
        <v>33</v>
      </c>
      <c r="C47" s="153">
        <f>SUM(C24:C46)</f>
        <v>1672</v>
      </c>
      <c r="D47" s="153">
        <f>SUM(D24:D46)</f>
        <v>922</v>
      </c>
      <c r="E47" s="221">
        <v>0.55000000000000004</v>
      </c>
      <c r="F47" s="153"/>
      <c r="G47" s="160">
        <f>SUM(G26:G46)</f>
        <v>2100</v>
      </c>
      <c r="H47" s="211">
        <f>SUM(H24:H46)</f>
        <v>1059</v>
      </c>
      <c r="I47" s="244">
        <v>0.5</v>
      </c>
      <c r="J47" s="245"/>
      <c r="K47" s="156">
        <f>SUM(K24:K46)</f>
        <v>1574</v>
      </c>
      <c r="L47" s="156">
        <f>SUM(L24:L46)</f>
        <v>924</v>
      </c>
      <c r="M47" s="222">
        <v>0.57999999999999996</v>
      </c>
      <c r="N47" s="190"/>
    </row>
    <row r="48" spans="1:25" ht="13.5" thickBot="1" x14ac:dyDescent="0.25">
      <c r="A48" s="98"/>
      <c r="B48" s="115"/>
      <c r="C48" s="115"/>
      <c r="D48" s="115"/>
      <c r="E48" s="115"/>
      <c r="F48" s="115"/>
      <c r="G48" s="116"/>
      <c r="H48" s="116"/>
      <c r="I48" s="139"/>
      <c r="J48" s="139"/>
      <c r="K48" s="116"/>
      <c r="L48" s="116"/>
      <c r="M48" s="139"/>
      <c r="N48" s="139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</row>
    <row r="49" spans="1:25" x14ac:dyDescent="0.2">
      <c r="A49" s="129" t="s">
        <v>126</v>
      </c>
      <c r="B49" s="256" t="s">
        <v>124</v>
      </c>
      <c r="C49" s="235">
        <v>578</v>
      </c>
      <c r="D49" s="235">
        <v>362</v>
      </c>
      <c r="E49" s="236">
        <v>0.62</v>
      </c>
      <c r="F49" s="235"/>
      <c r="G49" s="228">
        <v>649</v>
      </c>
      <c r="H49" s="195">
        <v>344</v>
      </c>
      <c r="I49" s="196">
        <f>344/649</f>
        <v>0.53004622496147924</v>
      </c>
      <c r="J49" s="249"/>
      <c r="K49" s="197">
        <v>590</v>
      </c>
      <c r="L49" s="197">
        <v>346</v>
      </c>
      <c r="M49" s="198">
        <f>346/590</f>
        <v>0.58644067796610166</v>
      </c>
      <c r="N49" s="198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</row>
    <row r="50" spans="1:25" ht="13.5" thickBot="1" x14ac:dyDescent="0.25">
      <c r="A50" s="130" t="s">
        <v>127</v>
      </c>
      <c r="B50" s="257" t="s">
        <v>125</v>
      </c>
      <c r="C50" s="237">
        <v>1094</v>
      </c>
      <c r="D50" s="237">
        <v>560</v>
      </c>
      <c r="E50" s="238">
        <v>0.51</v>
      </c>
      <c r="F50" s="237"/>
      <c r="G50" s="253">
        <v>1722</v>
      </c>
      <c r="H50" s="199">
        <v>891</v>
      </c>
      <c r="I50" s="200">
        <f>891/1722</f>
        <v>0.51742160278745641</v>
      </c>
      <c r="J50" s="254"/>
      <c r="K50" s="137">
        <v>1216</v>
      </c>
      <c r="L50" s="137">
        <v>756</v>
      </c>
      <c r="M50" s="138">
        <f>756/1216</f>
        <v>0.62171052631578949</v>
      </c>
      <c r="N50" s="138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</row>
    <row r="51" spans="1:25" ht="13.5" thickBot="1" x14ac:dyDescent="0.25">
      <c r="A51" s="98"/>
      <c r="B51" s="100"/>
      <c r="C51" s="100"/>
      <c r="D51" s="100"/>
      <c r="E51" s="100"/>
      <c r="F51" s="100"/>
      <c r="G51" s="102"/>
      <c r="H51" s="102"/>
      <c r="I51" s="201"/>
      <c r="J51" s="202"/>
      <c r="K51" s="117"/>
      <c r="L51" s="102"/>
      <c r="M51" s="201"/>
      <c r="N51" s="201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</row>
    <row r="52" spans="1:25" ht="13.5" thickBot="1" x14ac:dyDescent="0.25">
      <c r="A52" s="131" t="s">
        <v>3</v>
      </c>
      <c r="B52" s="203" t="s">
        <v>4</v>
      </c>
      <c r="C52" s="203"/>
      <c r="D52" s="203"/>
      <c r="E52" s="203"/>
      <c r="F52" s="203"/>
      <c r="G52" s="204"/>
      <c r="H52" s="204"/>
      <c r="I52" s="205"/>
      <c r="J52" s="205"/>
      <c r="K52" s="204"/>
      <c r="L52" s="204"/>
      <c r="M52" s="205"/>
      <c r="N52" s="205"/>
      <c r="O52" s="116"/>
      <c r="P52" s="117"/>
      <c r="Q52" s="116"/>
      <c r="R52" s="118"/>
      <c r="S52" s="119"/>
      <c r="T52" s="116"/>
      <c r="U52" s="117"/>
      <c r="V52" s="116"/>
      <c r="W52" s="118"/>
      <c r="X52" s="119"/>
      <c r="Y52" s="117"/>
    </row>
    <row r="53" spans="1:25" ht="13.5" thickBot="1" x14ac:dyDescent="0.25">
      <c r="A53" s="125" t="s">
        <v>76</v>
      </c>
      <c r="B53" s="290"/>
      <c r="C53" s="153" t="s">
        <v>182</v>
      </c>
      <c r="D53" s="153" t="s">
        <v>7</v>
      </c>
      <c r="E53" s="153" t="s">
        <v>8</v>
      </c>
      <c r="F53" s="153"/>
      <c r="G53" s="225" t="s">
        <v>6</v>
      </c>
      <c r="H53" s="258" t="s">
        <v>7</v>
      </c>
      <c r="I53" s="259" t="s">
        <v>8</v>
      </c>
      <c r="J53" s="259"/>
      <c r="K53" s="156" t="s">
        <v>6</v>
      </c>
      <c r="L53" s="164" t="s">
        <v>7</v>
      </c>
      <c r="M53" s="165" t="s">
        <v>8</v>
      </c>
      <c r="N53" s="165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</row>
    <row r="54" spans="1:25" s="184" customFormat="1" x14ac:dyDescent="0.2">
      <c r="A54" s="122" t="s">
        <v>77</v>
      </c>
      <c r="B54" s="100" t="s">
        <v>78</v>
      </c>
      <c r="C54" s="104">
        <v>101</v>
      </c>
      <c r="D54" s="104">
        <v>53</v>
      </c>
      <c r="E54" s="104">
        <v>52</v>
      </c>
      <c r="F54" s="104"/>
      <c r="G54" s="260">
        <v>84</v>
      </c>
      <c r="H54" s="261">
        <v>51</v>
      </c>
      <c r="I54" s="261">
        <v>61</v>
      </c>
      <c r="J54" s="262"/>
      <c r="K54" s="107">
        <v>94</v>
      </c>
      <c r="L54" s="107">
        <v>78</v>
      </c>
      <c r="M54" s="110">
        <f>78/94</f>
        <v>0.82978723404255317</v>
      </c>
      <c r="N54" s="110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</row>
    <row r="55" spans="1:25" s="184" customFormat="1" x14ac:dyDescent="0.2">
      <c r="A55" s="122" t="s">
        <v>79</v>
      </c>
      <c r="B55" s="100" t="s">
        <v>41</v>
      </c>
      <c r="C55" s="104">
        <v>82</v>
      </c>
      <c r="D55" s="104">
        <v>57</v>
      </c>
      <c r="E55" s="104">
        <v>70</v>
      </c>
      <c r="F55" s="104"/>
      <c r="G55" s="105">
        <v>119</v>
      </c>
      <c r="H55" s="106">
        <v>79</v>
      </c>
      <c r="I55" s="106">
        <v>66</v>
      </c>
      <c r="J55" s="242"/>
      <c r="K55" s="107">
        <v>86</v>
      </c>
      <c r="L55" s="107">
        <v>65</v>
      </c>
      <c r="M55" s="110">
        <f>65/86</f>
        <v>0.7558139534883721</v>
      </c>
      <c r="N55" s="110"/>
    </row>
    <row r="56" spans="1:25" x14ac:dyDescent="0.2">
      <c r="A56" s="99" t="s">
        <v>80</v>
      </c>
      <c r="B56" s="98" t="s">
        <v>43</v>
      </c>
      <c r="C56" s="104">
        <v>56</v>
      </c>
      <c r="D56" s="104">
        <v>37</v>
      </c>
      <c r="E56" s="104">
        <v>66</v>
      </c>
      <c r="F56" s="104"/>
      <c r="G56" s="105">
        <v>46</v>
      </c>
      <c r="H56" s="106">
        <v>30</v>
      </c>
      <c r="I56" s="106">
        <v>65</v>
      </c>
      <c r="J56" s="242"/>
      <c r="K56" s="107">
        <v>45</v>
      </c>
      <c r="L56" s="107">
        <v>35</v>
      </c>
      <c r="M56" s="110">
        <f>35/45</f>
        <v>0.77777777777777779</v>
      </c>
      <c r="N56" s="110"/>
    </row>
    <row r="57" spans="1:25" x14ac:dyDescent="0.2">
      <c r="A57" s="99" t="s">
        <v>81</v>
      </c>
      <c r="B57" s="98" t="s">
        <v>45</v>
      </c>
      <c r="C57" s="104">
        <v>52</v>
      </c>
      <c r="D57" s="104">
        <v>36</v>
      </c>
      <c r="E57" s="104">
        <v>69</v>
      </c>
      <c r="F57" s="104"/>
      <c r="G57" s="105">
        <v>64</v>
      </c>
      <c r="H57" s="106">
        <v>46</v>
      </c>
      <c r="I57" s="106">
        <v>72</v>
      </c>
      <c r="J57" s="242"/>
      <c r="K57" s="107">
        <v>44</v>
      </c>
      <c r="L57" s="107">
        <v>32</v>
      </c>
      <c r="M57" s="110">
        <f>32/44</f>
        <v>0.72727272727272729</v>
      </c>
      <c r="N57" s="110"/>
    </row>
    <row r="58" spans="1:25" x14ac:dyDescent="0.2">
      <c r="A58" s="99" t="s">
        <v>115</v>
      </c>
      <c r="B58" s="98" t="s">
        <v>194</v>
      </c>
      <c r="C58" s="104">
        <v>29</v>
      </c>
      <c r="D58" s="104">
        <v>10</v>
      </c>
      <c r="E58" s="104">
        <v>34</v>
      </c>
      <c r="F58" s="104"/>
      <c r="G58" s="105">
        <v>23</v>
      </c>
      <c r="H58" s="106">
        <v>11</v>
      </c>
      <c r="I58" s="106">
        <v>48</v>
      </c>
      <c r="J58" s="242"/>
      <c r="K58" s="107"/>
      <c r="L58" s="107"/>
      <c r="M58" s="110"/>
      <c r="N58" s="110"/>
    </row>
    <row r="59" spans="1:25" s="184" customFormat="1" x14ac:dyDescent="0.2">
      <c r="A59" s="122" t="s">
        <v>82</v>
      </c>
      <c r="B59" s="100" t="s">
        <v>83</v>
      </c>
      <c r="C59" s="104">
        <v>48</v>
      </c>
      <c r="D59" s="104">
        <v>31</v>
      </c>
      <c r="E59" s="104">
        <v>64</v>
      </c>
      <c r="F59" s="104"/>
      <c r="G59" s="105">
        <v>46</v>
      </c>
      <c r="H59" s="106">
        <v>29</v>
      </c>
      <c r="I59" s="108">
        <f>29/46</f>
        <v>0.63043478260869568</v>
      </c>
      <c r="J59" s="240"/>
      <c r="K59" s="107">
        <v>65</v>
      </c>
      <c r="L59" s="107">
        <v>36</v>
      </c>
      <c r="M59" s="110">
        <f>36/65</f>
        <v>0.55384615384615388</v>
      </c>
      <c r="N59" s="110"/>
    </row>
    <row r="60" spans="1:25" x14ac:dyDescent="0.2">
      <c r="A60" s="99" t="s">
        <v>84</v>
      </c>
      <c r="B60" s="98" t="s">
        <v>206</v>
      </c>
      <c r="C60" s="104">
        <v>18</v>
      </c>
      <c r="D60" s="104">
        <v>5</v>
      </c>
      <c r="E60" s="104">
        <v>28</v>
      </c>
      <c r="F60" s="104"/>
      <c r="G60" s="105">
        <v>38</v>
      </c>
      <c r="H60" s="106">
        <v>23</v>
      </c>
      <c r="I60" s="108">
        <f>23/38</f>
        <v>0.60526315789473684</v>
      </c>
      <c r="J60" s="240"/>
      <c r="K60" s="107">
        <v>57</v>
      </c>
      <c r="L60" s="107">
        <v>42</v>
      </c>
      <c r="M60" s="110">
        <f>42/57</f>
        <v>0.73684210526315785</v>
      </c>
      <c r="N60" s="110"/>
    </row>
    <row r="61" spans="1:25" x14ac:dyDescent="0.2">
      <c r="A61" s="122" t="s">
        <v>188</v>
      </c>
      <c r="B61" s="98" t="s">
        <v>196</v>
      </c>
      <c r="C61" s="104">
        <v>20</v>
      </c>
      <c r="D61" s="104">
        <v>5</v>
      </c>
      <c r="E61" s="104">
        <v>25</v>
      </c>
      <c r="F61" s="104"/>
      <c r="G61" s="105"/>
      <c r="H61" s="106"/>
      <c r="I61" s="108"/>
      <c r="J61" s="240"/>
      <c r="K61" s="107"/>
      <c r="L61" s="107"/>
      <c r="M61" s="110"/>
      <c r="N61" s="110"/>
    </row>
    <row r="62" spans="1:25" x14ac:dyDescent="0.2">
      <c r="A62" s="99" t="s">
        <v>85</v>
      </c>
      <c r="B62" s="98" t="s">
        <v>51</v>
      </c>
      <c r="C62" s="104">
        <v>28</v>
      </c>
      <c r="D62" s="104">
        <v>19</v>
      </c>
      <c r="E62" s="104">
        <v>68</v>
      </c>
      <c r="F62" s="104"/>
      <c r="G62" s="105">
        <v>30</v>
      </c>
      <c r="H62" s="106">
        <v>24</v>
      </c>
      <c r="I62" s="106">
        <v>80</v>
      </c>
      <c r="J62" s="242"/>
      <c r="K62" s="107">
        <v>37</v>
      </c>
      <c r="L62" s="107">
        <v>29</v>
      </c>
      <c r="M62" s="110">
        <f>29/37</f>
        <v>0.78378378378378377</v>
      </c>
      <c r="N62" s="110"/>
    </row>
    <row r="63" spans="1:25" x14ac:dyDescent="0.2">
      <c r="A63" s="122" t="s">
        <v>189</v>
      </c>
      <c r="B63" s="98" t="s">
        <v>197</v>
      </c>
      <c r="C63" s="104">
        <v>9</v>
      </c>
      <c r="D63" s="104">
        <v>9</v>
      </c>
      <c r="E63" s="104">
        <v>100</v>
      </c>
      <c r="F63" s="104"/>
      <c r="G63" s="105" t="s">
        <v>198</v>
      </c>
      <c r="H63" s="106"/>
      <c r="I63" s="106"/>
      <c r="J63" s="242"/>
      <c r="K63" s="107"/>
      <c r="L63" s="107"/>
      <c r="M63" s="110"/>
      <c r="N63" s="110"/>
    </row>
    <row r="64" spans="1:25" s="184" customFormat="1" x14ac:dyDescent="0.2">
      <c r="A64" s="122" t="s">
        <v>86</v>
      </c>
      <c r="B64" s="100" t="s">
        <v>53</v>
      </c>
      <c r="C64" s="104">
        <v>50</v>
      </c>
      <c r="D64" s="104">
        <v>26</v>
      </c>
      <c r="E64" s="104">
        <v>52</v>
      </c>
      <c r="F64" s="104"/>
      <c r="G64" s="105">
        <v>99</v>
      </c>
      <c r="H64" s="106">
        <v>62</v>
      </c>
      <c r="I64" s="106">
        <v>62.5</v>
      </c>
      <c r="J64" s="242"/>
      <c r="K64" s="107">
        <v>54</v>
      </c>
      <c r="L64" s="107">
        <v>49</v>
      </c>
      <c r="M64" s="110">
        <f>49/54</f>
        <v>0.90740740740740744</v>
      </c>
      <c r="N64" s="110"/>
    </row>
    <row r="65" spans="1:14" s="184" customFormat="1" x14ac:dyDescent="0.2">
      <c r="A65" s="122" t="s">
        <v>87</v>
      </c>
      <c r="B65" s="100" t="s">
        <v>55</v>
      </c>
      <c r="C65" s="104">
        <v>90</v>
      </c>
      <c r="D65" s="104">
        <v>56</v>
      </c>
      <c r="E65" s="104">
        <v>62</v>
      </c>
      <c r="F65" s="104"/>
      <c r="G65" s="105">
        <v>156</v>
      </c>
      <c r="H65" s="106">
        <v>112</v>
      </c>
      <c r="I65" s="106">
        <v>72</v>
      </c>
      <c r="J65" s="242"/>
      <c r="K65" s="107">
        <v>93</v>
      </c>
      <c r="L65" s="107">
        <v>65</v>
      </c>
      <c r="M65" s="174">
        <f>65/93</f>
        <v>0.69892473118279574</v>
      </c>
      <c r="N65" s="174"/>
    </row>
    <row r="66" spans="1:14" x14ac:dyDescent="0.2">
      <c r="A66" s="99" t="s">
        <v>88</v>
      </c>
      <c r="B66" s="98" t="s">
        <v>89</v>
      </c>
      <c r="C66" s="104">
        <v>59</v>
      </c>
      <c r="D66" s="104">
        <v>40</v>
      </c>
      <c r="E66" s="104">
        <v>68</v>
      </c>
      <c r="F66" s="104"/>
      <c r="G66" s="105">
        <v>53</v>
      </c>
      <c r="H66" s="106">
        <v>37</v>
      </c>
      <c r="I66" s="106">
        <v>70</v>
      </c>
      <c r="J66" s="242"/>
      <c r="K66" s="107">
        <v>67</v>
      </c>
      <c r="L66" s="107">
        <v>52</v>
      </c>
      <c r="M66" s="174">
        <f>52/67</f>
        <v>0.77611940298507465</v>
      </c>
      <c r="N66" s="174"/>
    </row>
    <row r="67" spans="1:14" x14ac:dyDescent="0.2">
      <c r="A67" s="99" t="s">
        <v>90</v>
      </c>
      <c r="B67" s="98" t="s">
        <v>91</v>
      </c>
      <c r="C67" s="104">
        <v>15</v>
      </c>
      <c r="D67" s="104">
        <v>6</v>
      </c>
      <c r="E67" s="104">
        <v>40</v>
      </c>
      <c r="F67" s="104"/>
      <c r="G67" s="105">
        <v>18</v>
      </c>
      <c r="H67" s="106">
        <v>7</v>
      </c>
      <c r="I67" s="171">
        <f>7/18</f>
        <v>0.3888888888888889</v>
      </c>
      <c r="J67" s="243"/>
      <c r="K67" s="107">
        <v>23</v>
      </c>
      <c r="L67" s="107">
        <v>13</v>
      </c>
      <c r="M67" s="174">
        <f>13/23</f>
        <v>0.56521739130434778</v>
      </c>
      <c r="N67" s="174"/>
    </row>
    <row r="68" spans="1:14" x14ac:dyDescent="0.2">
      <c r="A68" s="99" t="s">
        <v>92</v>
      </c>
      <c r="B68" s="98" t="s">
        <v>93</v>
      </c>
      <c r="C68" s="104">
        <v>91</v>
      </c>
      <c r="D68" s="104">
        <v>69</v>
      </c>
      <c r="E68" s="104">
        <v>76</v>
      </c>
      <c r="F68" s="104"/>
      <c r="G68" s="105">
        <v>81</v>
      </c>
      <c r="H68" s="106">
        <v>56</v>
      </c>
      <c r="I68" s="108">
        <f>56/81</f>
        <v>0.69135802469135799</v>
      </c>
      <c r="J68" s="240"/>
      <c r="K68" s="107">
        <v>74</v>
      </c>
      <c r="L68" s="107">
        <v>51</v>
      </c>
      <c r="M68" s="110">
        <f>51/74</f>
        <v>0.68918918918918914</v>
      </c>
      <c r="N68" s="110"/>
    </row>
    <row r="69" spans="1:14" s="184" customFormat="1" x14ac:dyDescent="0.2">
      <c r="A69" s="122" t="s">
        <v>116</v>
      </c>
      <c r="B69" s="100" t="s">
        <v>114</v>
      </c>
      <c r="C69" s="104" t="s">
        <v>199</v>
      </c>
      <c r="D69" s="104"/>
      <c r="E69" s="104"/>
      <c r="F69" s="104"/>
      <c r="G69" s="105">
        <v>58</v>
      </c>
      <c r="H69" s="106">
        <v>35</v>
      </c>
      <c r="I69" s="108">
        <f>35/58</f>
        <v>0.60344827586206895</v>
      </c>
      <c r="J69" s="240"/>
      <c r="K69" s="107"/>
      <c r="L69" s="107"/>
      <c r="M69" s="110"/>
      <c r="N69" s="110"/>
    </row>
    <row r="70" spans="1:14" x14ac:dyDescent="0.2">
      <c r="A70" s="99" t="s">
        <v>94</v>
      </c>
      <c r="B70" s="98" t="s">
        <v>95</v>
      </c>
      <c r="C70" s="104">
        <v>110</v>
      </c>
      <c r="D70" s="104">
        <v>70</v>
      </c>
      <c r="E70" s="104">
        <v>63</v>
      </c>
      <c r="F70" s="104"/>
      <c r="G70" s="105">
        <v>155</v>
      </c>
      <c r="H70" s="106">
        <v>112</v>
      </c>
      <c r="I70" s="106">
        <v>72</v>
      </c>
      <c r="J70" s="242"/>
      <c r="K70" s="107">
        <v>92</v>
      </c>
      <c r="L70" s="107">
        <v>73</v>
      </c>
      <c r="M70" s="174">
        <f>73/92</f>
        <v>0.79347826086956519</v>
      </c>
      <c r="N70" s="174"/>
    </row>
    <row r="71" spans="1:14" x14ac:dyDescent="0.2">
      <c r="A71" s="99" t="s">
        <v>96</v>
      </c>
      <c r="B71" s="98" t="s">
        <v>97</v>
      </c>
      <c r="C71" s="104">
        <v>68</v>
      </c>
      <c r="D71" s="104">
        <v>60</v>
      </c>
      <c r="E71" s="104">
        <v>88</v>
      </c>
      <c r="F71" s="104"/>
      <c r="G71" s="105">
        <v>77</v>
      </c>
      <c r="H71" s="106">
        <v>67</v>
      </c>
      <c r="I71" s="106">
        <v>87</v>
      </c>
      <c r="J71" s="242"/>
      <c r="K71" s="107">
        <v>128</v>
      </c>
      <c r="L71" s="107">
        <v>103</v>
      </c>
      <c r="M71" s="174">
        <f>103/128</f>
        <v>0.8046875</v>
      </c>
      <c r="N71" s="174"/>
    </row>
    <row r="72" spans="1:14" x14ac:dyDescent="0.2">
      <c r="A72" s="99" t="s">
        <v>98</v>
      </c>
      <c r="B72" s="98" t="s">
        <v>63</v>
      </c>
      <c r="C72" s="104">
        <v>30</v>
      </c>
      <c r="D72" s="104">
        <v>27</v>
      </c>
      <c r="E72" s="104">
        <v>90</v>
      </c>
      <c r="F72" s="104"/>
      <c r="G72" s="105">
        <v>50</v>
      </c>
      <c r="H72" s="106">
        <v>50</v>
      </c>
      <c r="I72" s="171">
        <v>1</v>
      </c>
      <c r="J72" s="243"/>
      <c r="K72" s="107">
        <v>51</v>
      </c>
      <c r="L72" s="107">
        <v>43</v>
      </c>
      <c r="M72" s="174">
        <f>43/51</f>
        <v>0.84313725490196079</v>
      </c>
      <c r="N72" s="174"/>
    </row>
    <row r="73" spans="1:14" s="184" customFormat="1" x14ac:dyDescent="0.2">
      <c r="A73" s="122" t="s">
        <v>99</v>
      </c>
      <c r="B73" s="100" t="s">
        <v>100</v>
      </c>
      <c r="C73" s="104">
        <v>124</v>
      </c>
      <c r="D73" s="104">
        <v>74</v>
      </c>
      <c r="E73" s="104">
        <v>60</v>
      </c>
      <c r="F73" s="104"/>
      <c r="G73" s="105">
        <v>203</v>
      </c>
      <c r="H73" s="106">
        <v>152</v>
      </c>
      <c r="I73" s="106">
        <v>75</v>
      </c>
      <c r="J73" s="242"/>
      <c r="K73" s="107">
        <v>139</v>
      </c>
      <c r="L73" s="107">
        <v>107</v>
      </c>
      <c r="M73" s="174">
        <f>107/139</f>
        <v>0.76978417266187049</v>
      </c>
      <c r="N73" s="174"/>
    </row>
    <row r="74" spans="1:14" s="184" customFormat="1" x14ac:dyDescent="0.2">
      <c r="A74" s="122" t="s">
        <v>101</v>
      </c>
      <c r="B74" s="100" t="s">
        <v>65</v>
      </c>
      <c r="C74" s="104">
        <v>38</v>
      </c>
      <c r="D74" s="104">
        <v>25</v>
      </c>
      <c r="E74" s="104">
        <v>66</v>
      </c>
      <c r="F74" s="104"/>
      <c r="G74" s="105">
        <v>59</v>
      </c>
      <c r="H74" s="106">
        <v>36</v>
      </c>
      <c r="I74" s="106">
        <v>61</v>
      </c>
      <c r="J74" s="242"/>
      <c r="K74" s="107">
        <v>74</v>
      </c>
      <c r="L74" s="107">
        <v>57</v>
      </c>
      <c r="M74" s="174">
        <f>57/74</f>
        <v>0.77027027027027029</v>
      </c>
      <c r="N74" s="174"/>
    </row>
    <row r="75" spans="1:14" x14ac:dyDescent="0.2">
      <c r="A75" s="99" t="s">
        <v>102</v>
      </c>
      <c r="B75" s="98" t="s">
        <v>103</v>
      </c>
      <c r="C75" s="104">
        <v>50</v>
      </c>
      <c r="D75" s="104">
        <v>33</v>
      </c>
      <c r="E75" s="104">
        <v>66</v>
      </c>
      <c r="F75" s="104"/>
      <c r="G75" s="105">
        <v>42</v>
      </c>
      <c r="H75" s="106">
        <v>27</v>
      </c>
      <c r="I75" s="106">
        <v>64</v>
      </c>
      <c r="J75" s="242"/>
      <c r="K75" s="107">
        <v>34</v>
      </c>
      <c r="L75" s="107">
        <v>22</v>
      </c>
      <c r="M75" s="174">
        <f>22/34</f>
        <v>0.6470588235294118</v>
      </c>
      <c r="N75" s="174"/>
    </row>
    <row r="76" spans="1:14" x14ac:dyDescent="0.2">
      <c r="A76" s="99" t="s">
        <v>104</v>
      </c>
      <c r="B76" s="98" t="s">
        <v>67</v>
      </c>
      <c r="C76" s="104">
        <v>62</v>
      </c>
      <c r="D76" s="104">
        <v>41</v>
      </c>
      <c r="E76" s="104">
        <v>66</v>
      </c>
      <c r="F76" s="104"/>
      <c r="G76" s="105">
        <v>69</v>
      </c>
      <c r="H76" s="106">
        <v>44</v>
      </c>
      <c r="I76" s="171">
        <f>44/69</f>
        <v>0.6376811594202898</v>
      </c>
      <c r="J76" s="243"/>
      <c r="K76" s="107">
        <v>72</v>
      </c>
      <c r="L76" s="107">
        <v>50</v>
      </c>
      <c r="M76" s="174">
        <f>50/72</f>
        <v>0.69444444444444442</v>
      </c>
      <c r="N76" s="174"/>
    </row>
    <row r="77" spans="1:14" x14ac:dyDescent="0.2">
      <c r="A77" s="99" t="s">
        <v>105</v>
      </c>
      <c r="B77" s="98" t="s">
        <v>106</v>
      </c>
      <c r="C77" s="104">
        <v>54</v>
      </c>
      <c r="D77" s="104">
        <v>36</v>
      </c>
      <c r="E77" s="104">
        <v>66</v>
      </c>
      <c r="F77" s="104"/>
      <c r="G77" s="105">
        <v>72</v>
      </c>
      <c r="H77" s="106">
        <v>55</v>
      </c>
      <c r="I77" s="171">
        <v>0.76</v>
      </c>
      <c r="J77" s="243"/>
      <c r="K77" s="107">
        <v>48</v>
      </c>
      <c r="L77" s="107">
        <v>36</v>
      </c>
      <c r="M77" s="174">
        <f>36/48</f>
        <v>0.75</v>
      </c>
      <c r="N77" s="174"/>
    </row>
    <row r="78" spans="1:14" s="184" customFormat="1" x14ac:dyDescent="0.2">
      <c r="A78" s="122" t="s">
        <v>107</v>
      </c>
      <c r="B78" s="100" t="s">
        <v>69</v>
      </c>
      <c r="C78" s="104">
        <v>54</v>
      </c>
      <c r="D78" s="104">
        <v>31</v>
      </c>
      <c r="E78" s="104">
        <v>57</v>
      </c>
      <c r="F78" s="104"/>
      <c r="G78" s="105">
        <v>54</v>
      </c>
      <c r="H78" s="106">
        <v>33</v>
      </c>
      <c r="I78" s="112">
        <v>0.61</v>
      </c>
      <c r="J78" s="242"/>
      <c r="K78" s="107">
        <v>71</v>
      </c>
      <c r="L78" s="107">
        <v>53</v>
      </c>
      <c r="M78" s="174">
        <f>53/71</f>
        <v>0.74647887323943662</v>
      </c>
      <c r="N78" s="174"/>
    </row>
    <row r="79" spans="1:14" s="184" customFormat="1" x14ac:dyDescent="0.2">
      <c r="A79" s="122" t="s">
        <v>108</v>
      </c>
      <c r="B79" s="100" t="s">
        <v>71</v>
      </c>
      <c r="C79" s="104">
        <v>95</v>
      </c>
      <c r="D79" s="104">
        <v>64</v>
      </c>
      <c r="E79" s="104">
        <v>67</v>
      </c>
      <c r="F79" s="104"/>
      <c r="G79" s="105">
        <v>111</v>
      </c>
      <c r="H79" s="106">
        <v>72</v>
      </c>
      <c r="I79" s="106">
        <v>100</v>
      </c>
      <c r="J79" s="242"/>
      <c r="K79" s="107">
        <v>81</v>
      </c>
      <c r="L79" s="107">
        <v>74</v>
      </c>
      <c r="M79" s="174">
        <f>74/81</f>
        <v>0.9135802469135802</v>
      </c>
      <c r="N79" s="174"/>
    </row>
    <row r="80" spans="1:14" s="184" customFormat="1" ht="13.5" thickBot="1" x14ac:dyDescent="0.25">
      <c r="A80" s="122" t="s">
        <v>109</v>
      </c>
      <c r="B80" s="100" t="s">
        <v>110</v>
      </c>
      <c r="C80" s="104">
        <v>87</v>
      </c>
      <c r="D80" s="104">
        <v>47</v>
      </c>
      <c r="E80" s="104">
        <v>54</v>
      </c>
      <c r="F80" s="104"/>
      <c r="G80" s="250">
        <v>108</v>
      </c>
      <c r="H80" s="251">
        <v>74</v>
      </c>
      <c r="I80" s="251">
        <v>68.5</v>
      </c>
      <c r="J80" s="252"/>
      <c r="K80" s="107">
        <v>83</v>
      </c>
      <c r="L80" s="107">
        <v>62</v>
      </c>
      <c r="M80" s="174">
        <f>62/83</f>
        <v>0.74698795180722888</v>
      </c>
      <c r="N80" s="174"/>
    </row>
    <row r="81" spans="1:25" ht="13.5" thickBot="1" x14ac:dyDescent="0.25">
      <c r="A81" s="132" t="s">
        <v>205</v>
      </c>
      <c r="B81" s="133" t="s">
        <v>33</v>
      </c>
      <c r="C81" s="134">
        <f>SUM(C54:C80)</f>
        <v>1520</v>
      </c>
      <c r="D81" s="134">
        <f>SUM(D54:D80)</f>
        <v>967</v>
      </c>
      <c r="E81" s="217">
        <v>0.63</v>
      </c>
      <c r="F81" s="134"/>
      <c r="G81" s="239">
        <f>SUM(G54:G80)</f>
        <v>1915</v>
      </c>
      <c r="H81" s="239">
        <v>1329</v>
      </c>
      <c r="I81" s="255">
        <f>1329/1922</f>
        <v>0.69146722164412067</v>
      </c>
      <c r="J81" s="255"/>
      <c r="K81" s="135">
        <v>1646</v>
      </c>
      <c r="L81" s="135">
        <v>1256</v>
      </c>
      <c r="M81" s="157">
        <f>1256/1646</f>
        <v>0.76306196840826246</v>
      </c>
      <c r="N81" s="157"/>
    </row>
    <row r="82" spans="1:25" ht="13.5" thickBot="1" x14ac:dyDescent="0.25">
      <c r="A82" s="98"/>
      <c r="B82" s="136"/>
      <c r="C82" s="136"/>
      <c r="D82" s="136"/>
      <c r="E82" s="136"/>
      <c r="F82" s="136"/>
      <c r="G82" s="115"/>
      <c r="H82" s="115"/>
      <c r="I82" s="139"/>
      <c r="J82" s="139"/>
      <c r="K82" s="115"/>
      <c r="L82" s="115"/>
      <c r="M82" s="139"/>
      <c r="N82" s="139"/>
    </row>
    <row r="83" spans="1:25" x14ac:dyDescent="0.2">
      <c r="A83" s="129" t="s">
        <v>126</v>
      </c>
      <c r="B83" s="256" t="s">
        <v>124</v>
      </c>
      <c r="C83" s="235">
        <v>742</v>
      </c>
      <c r="D83" s="235">
        <v>494</v>
      </c>
      <c r="E83" s="236">
        <v>0.66</v>
      </c>
      <c r="F83" s="235"/>
      <c r="G83" s="141">
        <v>825</v>
      </c>
      <c r="H83" s="141">
        <v>594</v>
      </c>
      <c r="I83" s="142">
        <f>594/825</f>
        <v>0.72</v>
      </c>
      <c r="J83" s="142"/>
      <c r="K83" s="197">
        <v>806</v>
      </c>
      <c r="L83" s="197">
        <v>607</v>
      </c>
      <c r="M83" s="198">
        <f>607/806</f>
        <v>0.75310173697270466</v>
      </c>
      <c r="N83" s="198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</row>
    <row r="84" spans="1:25" ht="13.5" thickBot="1" x14ac:dyDescent="0.25">
      <c r="A84" s="130" t="s">
        <v>128</v>
      </c>
      <c r="B84" s="257" t="s">
        <v>125</v>
      </c>
      <c r="C84" s="237">
        <v>778</v>
      </c>
      <c r="D84" s="237">
        <v>473</v>
      </c>
      <c r="E84" s="238">
        <v>0.61</v>
      </c>
      <c r="F84" s="237"/>
      <c r="G84" s="180">
        <v>1097</v>
      </c>
      <c r="H84" s="180">
        <v>735</v>
      </c>
      <c r="I84" s="255">
        <f>735/1097</f>
        <v>0.67000911577028255</v>
      </c>
      <c r="J84" s="255"/>
      <c r="K84" s="137">
        <v>840</v>
      </c>
      <c r="L84" s="137">
        <v>646</v>
      </c>
      <c r="M84" s="138">
        <f>646/840</f>
        <v>0.76904761904761909</v>
      </c>
      <c r="N84" s="138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</row>
    <row r="85" spans="1:25" s="184" customFormat="1" ht="13.5" thickBot="1" x14ac:dyDescent="0.25">
      <c r="A85" s="115"/>
      <c r="B85" s="115"/>
      <c r="C85" s="115"/>
      <c r="D85" s="115"/>
      <c r="E85" s="115"/>
      <c r="F85" s="115"/>
      <c r="G85" s="116"/>
      <c r="H85" s="116"/>
      <c r="I85" s="139"/>
      <c r="J85" s="139"/>
      <c r="K85" s="116"/>
      <c r="L85" s="116"/>
      <c r="M85" s="139"/>
      <c r="N85" s="139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</row>
    <row r="86" spans="1:25" s="184" customFormat="1" x14ac:dyDescent="0.2">
      <c r="A86" s="140" t="s">
        <v>130</v>
      </c>
      <c r="B86" s="206"/>
      <c r="C86" s="225"/>
      <c r="D86" s="229"/>
      <c r="E86" s="141">
        <v>922</v>
      </c>
      <c r="F86" s="230"/>
      <c r="G86" s="141"/>
      <c r="H86" s="141">
        <v>1059</v>
      </c>
      <c r="I86" s="142"/>
      <c r="J86" s="226"/>
      <c r="K86" s="141"/>
      <c r="L86" s="141">
        <v>924</v>
      </c>
      <c r="M86" s="142"/>
      <c r="N86" s="142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</row>
    <row r="87" spans="1:25" x14ac:dyDescent="0.2">
      <c r="A87" s="143" t="s">
        <v>131</v>
      </c>
      <c r="B87" s="207"/>
      <c r="C87" s="231"/>
      <c r="D87" s="173"/>
      <c r="E87" s="208">
        <v>967</v>
      </c>
      <c r="F87" s="175"/>
      <c r="G87" s="173"/>
      <c r="H87" s="208">
        <v>1329</v>
      </c>
      <c r="I87" s="173"/>
      <c r="J87" s="175"/>
      <c r="K87" s="173"/>
      <c r="L87" s="208">
        <v>1256</v>
      </c>
      <c r="M87" s="173"/>
      <c r="N87" s="173"/>
    </row>
    <row r="88" spans="1:25" ht="13.5" thickBot="1" x14ac:dyDescent="0.25">
      <c r="A88" s="144" t="s">
        <v>132</v>
      </c>
      <c r="B88" s="207"/>
      <c r="C88" s="179"/>
      <c r="D88" s="232"/>
      <c r="E88" s="180">
        <v>1889</v>
      </c>
      <c r="F88" s="233"/>
      <c r="G88" s="170"/>
      <c r="H88" s="209">
        <v>2388</v>
      </c>
      <c r="I88" s="170"/>
      <c r="J88" s="227"/>
      <c r="K88" s="170"/>
      <c r="L88" s="209">
        <f>SUM(L86:L87)</f>
        <v>2180</v>
      </c>
      <c r="M88" s="170"/>
      <c r="N88" s="170"/>
    </row>
    <row r="89" spans="1:25" s="184" customFormat="1" ht="13.5" thickBot="1" x14ac:dyDescent="0.25">
      <c r="A89" s="125" t="s">
        <v>117</v>
      </c>
      <c r="B89" s="186"/>
      <c r="C89" s="158"/>
      <c r="D89" s="186" t="s">
        <v>118</v>
      </c>
      <c r="E89" s="186">
        <v>4257</v>
      </c>
      <c r="F89" s="223"/>
      <c r="G89" s="158" t="s">
        <v>118</v>
      </c>
      <c r="H89" s="186">
        <v>4836</v>
      </c>
      <c r="I89" s="145"/>
      <c r="J89" s="126"/>
      <c r="K89" s="158" t="s">
        <v>118</v>
      </c>
      <c r="L89" s="186">
        <v>5026</v>
      </c>
      <c r="M89" s="159"/>
      <c r="N89" s="223"/>
    </row>
    <row r="90" spans="1:25" s="184" customFormat="1" ht="13.5" thickBot="1" x14ac:dyDescent="0.25">
      <c r="A90" s="300"/>
      <c r="B90" s="301"/>
      <c r="C90" s="302"/>
      <c r="D90" s="301"/>
      <c r="E90" s="301"/>
      <c r="F90" s="303"/>
      <c r="G90" s="302"/>
      <c r="H90" s="301"/>
      <c r="I90" s="304"/>
      <c r="J90" s="305"/>
      <c r="K90" s="306"/>
      <c r="L90" s="116"/>
      <c r="M90" s="117"/>
      <c r="N90" s="116"/>
      <c r="O90" s="117"/>
    </row>
    <row r="91" spans="1:25" ht="13.5" thickBot="1" x14ac:dyDescent="0.25">
      <c r="A91" s="125" t="s">
        <v>202</v>
      </c>
      <c r="B91" s="145" t="s">
        <v>33</v>
      </c>
      <c r="C91" s="292" t="s">
        <v>182</v>
      </c>
      <c r="D91" s="291" t="s">
        <v>7</v>
      </c>
      <c r="E91" s="291" t="s">
        <v>8</v>
      </c>
      <c r="F91" s="218"/>
      <c r="G91" s="160" t="s">
        <v>182</v>
      </c>
      <c r="H91" s="161" t="s">
        <v>7</v>
      </c>
      <c r="I91" s="161" t="s">
        <v>8</v>
      </c>
      <c r="J91" s="215"/>
      <c r="K91" s="307" t="s">
        <v>182</v>
      </c>
      <c r="L91" s="308" t="s">
        <v>7</v>
      </c>
      <c r="M91" s="308" t="s">
        <v>8</v>
      </c>
      <c r="N91" s="309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</row>
    <row r="92" spans="1:25" x14ac:dyDescent="0.2">
      <c r="A92" s="122" t="s">
        <v>186</v>
      </c>
      <c r="B92" s="122" t="s">
        <v>203</v>
      </c>
      <c r="C92" s="103">
        <v>187</v>
      </c>
      <c r="D92" s="104">
        <v>117</v>
      </c>
      <c r="E92" s="104">
        <v>62</v>
      </c>
      <c r="F92" s="104"/>
      <c r="G92" s="105" t="s">
        <v>198</v>
      </c>
      <c r="H92" s="106"/>
      <c r="I92" s="106"/>
      <c r="J92" s="242"/>
      <c r="K92" s="173"/>
      <c r="L92" s="173"/>
      <c r="M92" s="174"/>
      <c r="N92" s="191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</row>
    <row r="93" spans="1:25" ht="13.5" thickBot="1" x14ac:dyDescent="0.25">
      <c r="A93" s="212" t="s">
        <v>74</v>
      </c>
      <c r="B93" s="212" t="s">
        <v>75</v>
      </c>
      <c r="C93" s="127">
        <v>206</v>
      </c>
      <c r="D93" s="128">
        <v>128</v>
      </c>
      <c r="E93" s="128">
        <v>62</v>
      </c>
      <c r="F93" s="128"/>
      <c r="G93" s="250">
        <v>257</v>
      </c>
      <c r="H93" s="251">
        <v>176</v>
      </c>
      <c r="I93" s="251">
        <v>68</v>
      </c>
      <c r="J93" s="252"/>
      <c r="K93" s="192">
        <v>232</v>
      </c>
      <c r="L93" s="192">
        <v>178</v>
      </c>
      <c r="M93" s="193">
        <f>178/232</f>
        <v>0.76724137931034486</v>
      </c>
      <c r="N93" s="194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</row>
    <row r="94" spans="1:25" s="184" customFormat="1" ht="13.5" thickBot="1" x14ac:dyDescent="0.25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202"/>
      <c r="M94" s="117"/>
      <c r="N94" s="117"/>
    </row>
    <row r="95" spans="1:25" s="184" customFormat="1" ht="13.5" thickBot="1" x14ac:dyDescent="0.25">
      <c r="A95" s="125" t="s">
        <v>119</v>
      </c>
      <c r="B95" s="145" t="s">
        <v>120</v>
      </c>
      <c r="C95" s="134"/>
      <c r="D95" s="134" t="s">
        <v>118</v>
      </c>
      <c r="E95" s="134">
        <v>188</v>
      </c>
      <c r="F95" s="134"/>
      <c r="G95" s="134"/>
      <c r="H95" s="134" t="s">
        <v>118</v>
      </c>
      <c r="I95" s="134">
        <v>203</v>
      </c>
      <c r="J95" s="134"/>
      <c r="K95" s="134"/>
      <c r="L95" s="146" t="s">
        <v>118</v>
      </c>
      <c r="M95" s="153">
        <v>184</v>
      </c>
      <c r="N95" s="153"/>
      <c r="O95" s="210"/>
      <c r="P95" s="210"/>
    </row>
    <row r="96" spans="1:25" s="184" customFormat="1" ht="13.5" thickBot="1" x14ac:dyDescent="0.25">
      <c r="A96" s="125" t="s">
        <v>121</v>
      </c>
      <c r="B96" s="145" t="s">
        <v>122</v>
      </c>
      <c r="C96" s="147"/>
      <c r="D96" s="147" t="s">
        <v>118</v>
      </c>
      <c r="E96" s="147">
        <v>19</v>
      </c>
      <c r="F96" s="147"/>
      <c r="G96" s="147"/>
      <c r="H96" s="147" t="s">
        <v>118</v>
      </c>
      <c r="I96" s="147">
        <v>25</v>
      </c>
      <c r="J96" s="147"/>
      <c r="K96" s="147"/>
      <c r="L96" s="147" t="s">
        <v>118</v>
      </c>
      <c r="M96" s="211">
        <v>25</v>
      </c>
      <c r="N96" s="211"/>
      <c r="O96" s="210"/>
      <c r="P96" s="210"/>
    </row>
    <row r="97" spans="1:16" ht="13.5" thickBot="1" x14ac:dyDescent="0.25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17"/>
      <c r="L97" s="117"/>
      <c r="M97" s="117"/>
      <c r="N97" s="117"/>
      <c r="O97" s="210"/>
      <c r="P97" s="210"/>
    </row>
    <row r="98" spans="1:16" ht="13.5" thickBot="1" x14ac:dyDescent="0.25">
      <c r="A98" s="125" t="s">
        <v>134</v>
      </c>
      <c r="B98" s="159"/>
      <c r="C98" s="234"/>
      <c r="D98" s="211" t="s">
        <v>118</v>
      </c>
      <c r="E98" s="161" t="s">
        <v>187</v>
      </c>
      <c r="F98" s="234"/>
      <c r="G98" s="147"/>
      <c r="H98" s="147" t="s">
        <v>118</v>
      </c>
      <c r="I98" s="147">
        <v>222</v>
      </c>
      <c r="J98" s="147"/>
      <c r="K98" s="211"/>
      <c r="L98" s="211" t="s">
        <v>118</v>
      </c>
      <c r="M98" s="211">
        <v>213</v>
      </c>
      <c r="N98" s="211"/>
      <c r="O98" s="210"/>
      <c r="P98" s="210"/>
    </row>
    <row r="99" spans="1:16" x14ac:dyDescent="0.2">
      <c r="E99" s="149" t="s">
        <v>209</v>
      </c>
      <c r="O99" s="210"/>
      <c r="P99" s="210"/>
    </row>
    <row r="100" spans="1:16" x14ac:dyDescent="0.2">
      <c r="A100" s="100"/>
      <c r="B100" s="115"/>
      <c r="C100" s="115"/>
      <c r="D100" s="115"/>
      <c r="E100" s="115"/>
      <c r="F100" s="115"/>
      <c r="G100" s="115"/>
      <c r="H100" s="100"/>
      <c r="I100" s="115"/>
      <c r="J100" s="115"/>
      <c r="K100" s="117"/>
      <c r="L100" s="117"/>
      <c r="M100" s="117"/>
      <c r="N100" s="117"/>
    </row>
    <row r="101" spans="1:16" x14ac:dyDescent="0.2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</row>
    <row r="102" spans="1:16" x14ac:dyDescent="0.2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</row>
    <row r="103" spans="1:16" x14ac:dyDescent="0.2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</row>
    <row r="104" spans="1:16" x14ac:dyDescent="0.2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</row>
    <row r="105" spans="1:16" x14ac:dyDescent="0.2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</row>
    <row r="106" spans="1:16" x14ac:dyDescent="0.2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</row>
    <row r="107" spans="1:16" x14ac:dyDescent="0.2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</row>
    <row r="108" spans="1:16" x14ac:dyDescent="0.2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</row>
    <row r="109" spans="1:16" x14ac:dyDescent="0.2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</row>
    <row r="110" spans="1:16" x14ac:dyDescent="0.2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</row>
    <row r="111" spans="1:16" x14ac:dyDescent="0.2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</row>
    <row r="112" spans="1:16" x14ac:dyDescent="0.2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</row>
    <row r="113" spans="1:14" x14ac:dyDescent="0.2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</row>
    <row r="114" spans="1:14" x14ac:dyDescent="0.2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</row>
    <row r="115" spans="1:14" x14ac:dyDescent="0.2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</row>
    <row r="116" spans="1:14" x14ac:dyDescent="0.2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</row>
    <row r="117" spans="1:14" x14ac:dyDescent="0.2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</row>
    <row r="118" spans="1:14" x14ac:dyDescent="0.2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</row>
    <row r="119" spans="1:14" x14ac:dyDescent="0.2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</row>
    <row r="120" spans="1:14" x14ac:dyDescent="0.2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</row>
    <row r="121" spans="1:14" x14ac:dyDescent="0.2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</row>
    <row r="122" spans="1:14" x14ac:dyDescent="0.2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</row>
    <row r="123" spans="1:14" x14ac:dyDescent="0.2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</row>
    <row r="124" spans="1:14" x14ac:dyDescent="0.2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</row>
    <row r="125" spans="1:14" x14ac:dyDescent="0.2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</row>
    <row r="126" spans="1:14" x14ac:dyDescent="0.2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</row>
    <row r="127" spans="1:14" x14ac:dyDescent="0.2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</row>
    <row r="128" spans="1:14" x14ac:dyDescent="0.2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</row>
    <row r="129" spans="1:14" x14ac:dyDescent="0.2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</row>
    <row r="130" spans="1:14" x14ac:dyDescent="0.2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</row>
    <row r="131" spans="1:14" x14ac:dyDescent="0.2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</row>
    <row r="132" spans="1:14" x14ac:dyDescent="0.2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</row>
    <row r="133" spans="1:14" x14ac:dyDescent="0.2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</row>
    <row r="134" spans="1:14" x14ac:dyDescent="0.2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</row>
    <row r="135" spans="1:14" x14ac:dyDescent="0.2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</row>
    <row r="136" spans="1:14" x14ac:dyDescent="0.2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</row>
    <row r="137" spans="1:14" x14ac:dyDescent="0.2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</row>
    <row r="138" spans="1:14" x14ac:dyDescent="0.2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</row>
    <row r="139" spans="1:14" x14ac:dyDescent="0.2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</row>
    <row r="140" spans="1:14" x14ac:dyDescent="0.2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</row>
    <row r="141" spans="1:14" x14ac:dyDescent="0.2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</row>
    <row r="142" spans="1:14" x14ac:dyDescent="0.2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</row>
    <row r="143" spans="1:14" x14ac:dyDescent="0.2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</row>
    <row r="144" spans="1:14" x14ac:dyDescent="0.2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</row>
    <row r="145" spans="1:14" x14ac:dyDescent="0.2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</row>
    <row r="146" spans="1:14" x14ac:dyDescent="0.2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</row>
    <row r="147" spans="1:14" x14ac:dyDescent="0.2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</row>
    <row r="148" spans="1:14" x14ac:dyDescent="0.2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</row>
    <row r="149" spans="1:14" x14ac:dyDescent="0.2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</row>
    <row r="150" spans="1:14" x14ac:dyDescent="0.2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</row>
    <row r="151" spans="1:14" x14ac:dyDescent="0.2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</row>
    <row r="152" spans="1:14" x14ac:dyDescent="0.2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</row>
    <row r="153" spans="1:14" x14ac:dyDescent="0.2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</row>
    <row r="154" spans="1:14" x14ac:dyDescent="0.2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</row>
    <row r="155" spans="1:14" x14ac:dyDescent="0.2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</row>
    <row r="156" spans="1:14" x14ac:dyDescent="0.2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</row>
    <row r="157" spans="1:14" x14ac:dyDescent="0.2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</row>
    <row r="158" spans="1:14" x14ac:dyDescent="0.2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</row>
    <row r="159" spans="1:14" x14ac:dyDescent="0.2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</row>
    <row r="160" spans="1:14" x14ac:dyDescent="0.2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</row>
    <row r="161" spans="1:14" x14ac:dyDescent="0.2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</row>
    <row r="162" spans="1:14" x14ac:dyDescent="0.2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</row>
    <row r="163" spans="1:14" x14ac:dyDescent="0.2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</row>
    <row r="164" spans="1:14" x14ac:dyDescent="0.2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</row>
    <row r="165" spans="1:14" x14ac:dyDescent="0.2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</row>
    <row r="166" spans="1:14" x14ac:dyDescent="0.2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</row>
    <row r="167" spans="1:14" x14ac:dyDescent="0.2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</row>
    <row r="168" spans="1:14" x14ac:dyDescent="0.2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</row>
    <row r="169" spans="1:14" x14ac:dyDescent="0.2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</row>
    <row r="170" spans="1:14" x14ac:dyDescent="0.2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</row>
    <row r="171" spans="1:14" x14ac:dyDescent="0.2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</row>
    <row r="172" spans="1:14" x14ac:dyDescent="0.2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</row>
    <row r="173" spans="1:14" x14ac:dyDescent="0.2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</row>
    <row r="174" spans="1:14" x14ac:dyDescent="0.2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</row>
    <row r="175" spans="1:14" x14ac:dyDescent="0.2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</row>
    <row r="176" spans="1:14" x14ac:dyDescent="0.2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</row>
    <row r="177" spans="1:14" x14ac:dyDescent="0.2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</row>
    <row r="178" spans="1:14" x14ac:dyDescent="0.2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</row>
    <row r="179" spans="1:14" x14ac:dyDescent="0.2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</row>
    <row r="180" spans="1:14" x14ac:dyDescent="0.2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</row>
    <row r="181" spans="1:14" x14ac:dyDescent="0.2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</row>
    <row r="182" spans="1:14" x14ac:dyDescent="0.2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</row>
    <row r="183" spans="1:14" x14ac:dyDescent="0.2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</row>
    <row r="184" spans="1:14" x14ac:dyDescent="0.2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</row>
    <row r="185" spans="1:14" x14ac:dyDescent="0.2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</row>
    <row r="186" spans="1:14" x14ac:dyDescent="0.2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</row>
    <row r="187" spans="1:14" x14ac:dyDescent="0.2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</row>
    <row r="188" spans="1:14" x14ac:dyDescent="0.2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</row>
    <row r="189" spans="1:14" x14ac:dyDescent="0.2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</row>
    <row r="190" spans="1:14" x14ac:dyDescent="0.2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</row>
    <row r="191" spans="1:14" x14ac:dyDescent="0.2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</row>
    <row r="192" spans="1:14" x14ac:dyDescent="0.2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</row>
    <row r="193" spans="1:14" x14ac:dyDescent="0.2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</row>
    <row r="194" spans="1:14" x14ac:dyDescent="0.2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</row>
    <row r="195" spans="1:14" x14ac:dyDescent="0.2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</row>
    <row r="196" spans="1:14" x14ac:dyDescent="0.2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</row>
    <row r="197" spans="1:14" x14ac:dyDescent="0.2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</row>
    <row r="198" spans="1:14" x14ac:dyDescent="0.2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</row>
    <row r="199" spans="1:14" x14ac:dyDescent="0.2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</row>
    <row r="200" spans="1:14" x14ac:dyDescent="0.2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</row>
    <row r="201" spans="1:14" x14ac:dyDescent="0.2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</row>
    <row r="202" spans="1:14" x14ac:dyDescent="0.2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</row>
    <row r="203" spans="1:14" x14ac:dyDescent="0.2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</row>
    <row r="204" spans="1:14" x14ac:dyDescent="0.2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</row>
    <row r="205" spans="1:14" x14ac:dyDescent="0.2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</row>
    <row r="206" spans="1:14" x14ac:dyDescent="0.2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</row>
    <row r="207" spans="1:14" x14ac:dyDescent="0.2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</row>
    <row r="208" spans="1:14" x14ac:dyDescent="0.2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</row>
    <row r="209" spans="1:14" x14ac:dyDescent="0.2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</row>
    <row r="210" spans="1:14" x14ac:dyDescent="0.2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</row>
    <row r="211" spans="1:14" x14ac:dyDescent="0.2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</row>
    <row r="212" spans="1:14" x14ac:dyDescent="0.2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</row>
    <row r="213" spans="1:14" x14ac:dyDescent="0.2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</row>
    <row r="214" spans="1:14" x14ac:dyDescent="0.2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</row>
    <row r="215" spans="1:14" x14ac:dyDescent="0.2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</row>
    <row r="216" spans="1:14" x14ac:dyDescent="0.2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</row>
    <row r="217" spans="1:14" x14ac:dyDescent="0.2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</row>
    <row r="218" spans="1:14" x14ac:dyDescent="0.2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</row>
    <row r="219" spans="1:14" x14ac:dyDescent="0.2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</row>
    <row r="220" spans="1:14" x14ac:dyDescent="0.2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</row>
    <row r="221" spans="1:14" x14ac:dyDescent="0.2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</row>
    <row r="222" spans="1:14" x14ac:dyDescent="0.2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</row>
    <row r="223" spans="1:14" x14ac:dyDescent="0.2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</row>
    <row r="224" spans="1:14" x14ac:dyDescent="0.2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</row>
    <row r="225" spans="1:14" x14ac:dyDescent="0.2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</row>
    <row r="226" spans="1:14" x14ac:dyDescent="0.2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</row>
    <row r="227" spans="1:14" x14ac:dyDescent="0.2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</row>
    <row r="228" spans="1:14" x14ac:dyDescent="0.2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</row>
    <row r="229" spans="1:14" x14ac:dyDescent="0.2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</row>
    <row r="230" spans="1:14" x14ac:dyDescent="0.2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</row>
    <row r="231" spans="1:14" x14ac:dyDescent="0.2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</row>
    <row r="232" spans="1:14" x14ac:dyDescent="0.2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</row>
    <row r="233" spans="1:14" x14ac:dyDescent="0.2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</row>
    <row r="234" spans="1:14" x14ac:dyDescent="0.2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</row>
    <row r="235" spans="1:14" x14ac:dyDescent="0.2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</row>
    <row r="236" spans="1:14" x14ac:dyDescent="0.2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</row>
    <row r="237" spans="1:14" x14ac:dyDescent="0.2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</row>
    <row r="238" spans="1:14" x14ac:dyDescent="0.2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</row>
    <row r="239" spans="1:14" x14ac:dyDescent="0.2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</row>
    <row r="240" spans="1:14" x14ac:dyDescent="0.2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</row>
    <row r="241" spans="1:14" x14ac:dyDescent="0.2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</row>
    <row r="242" spans="1:14" x14ac:dyDescent="0.2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</row>
    <row r="243" spans="1:14" x14ac:dyDescent="0.2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</row>
    <row r="244" spans="1:14" x14ac:dyDescent="0.2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</row>
    <row r="245" spans="1:14" x14ac:dyDescent="0.2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</row>
    <row r="246" spans="1:14" x14ac:dyDescent="0.2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</row>
    <row r="247" spans="1:14" x14ac:dyDescent="0.2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</row>
    <row r="248" spans="1:14" x14ac:dyDescent="0.2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</row>
    <row r="249" spans="1:14" x14ac:dyDescent="0.2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</row>
    <row r="250" spans="1:14" x14ac:dyDescent="0.2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</row>
    <row r="251" spans="1:14" x14ac:dyDescent="0.2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</row>
    <row r="252" spans="1:14" x14ac:dyDescent="0.2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</row>
    <row r="253" spans="1:14" x14ac:dyDescent="0.2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</row>
    <row r="254" spans="1:14" x14ac:dyDescent="0.2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</row>
    <row r="255" spans="1:14" x14ac:dyDescent="0.2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</row>
    <row r="256" spans="1:14" x14ac:dyDescent="0.2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D24" sqref="D24"/>
    </sheetView>
  </sheetViews>
  <sheetFormatPr defaultRowHeight="15" x14ac:dyDescent="0.25"/>
  <cols>
    <col min="1" max="1" width="12.28515625" customWidth="1"/>
    <col min="3" max="6" width="10.140625" customWidth="1"/>
    <col min="7" max="7" width="11.85546875" customWidth="1"/>
    <col min="8" max="8" width="14.5703125" customWidth="1"/>
    <col min="9" max="9" width="12.140625" style="65" customWidth="1"/>
    <col min="10" max="11" width="12.140625" customWidth="1"/>
    <col min="12" max="12" width="12.28515625" customWidth="1"/>
    <col min="13" max="14" width="11.28515625" customWidth="1"/>
    <col min="15" max="15" width="12" customWidth="1"/>
  </cols>
  <sheetData>
    <row r="1" spans="1:15" x14ac:dyDescent="0.25">
      <c r="A1" s="25" t="s">
        <v>177</v>
      </c>
    </row>
    <row r="2" spans="1:15" ht="15.75" thickBot="1" x14ac:dyDescent="0.3"/>
    <row r="3" spans="1:15" ht="15.75" thickBot="1" x14ac:dyDescent="0.3">
      <c r="A3" s="52"/>
      <c r="B3" s="53"/>
      <c r="C3" s="54"/>
      <c r="D3" s="281"/>
      <c r="E3" s="281" t="s">
        <v>181</v>
      </c>
      <c r="F3" s="281"/>
      <c r="G3" s="81"/>
      <c r="H3" s="16" t="s">
        <v>0</v>
      </c>
      <c r="I3" s="82"/>
      <c r="J3" s="83"/>
      <c r="K3" s="30" t="s">
        <v>1</v>
      </c>
      <c r="L3" s="30"/>
      <c r="M3" s="96"/>
      <c r="N3" s="28" t="s">
        <v>2</v>
      </c>
      <c r="O3" s="287"/>
    </row>
    <row r="4" spans="1:15" ht="15.75" thickBot="1" x14ac:dyDescent="0.3">
      <c r="A4" s="31" t="s">
        <v>135</v>
      </c>
      <c r="B4" s="1"/>
      <c r="C4" s="59"/>
      <c r="D4" s="282" t="s">
        <v>6</v>
      </c>
      <c r="E4" s="282" t="s">
        <v>7</v>
      </c>
      <c r="F4" s="282" t="s">
        <v>8</v>
      </c>
      <c r="G4" s="20" t="s">
        <v>6</v>
      </c>
      <c r="H4" s="21" t="s">
        <v>7</v>
      </c>
      <c r="I4" s="67" t="s">
        <v>8</v>
      </c>
      <c r="J4" s="55" t="s">
        <v>6</v>
      </c>
      <c r="K4" s="32" t="s">
        <v>7</v>
      </c>
      <c r="L4" s="33" t="s">
        <v>8</v>
      </c>
      <c r="M4" s="2" t="s">
        <v>6</v>
      </c>
      <c r="N4" s="3" t="s">
        <v>7</v>
      </c>
      <c r="O4" s="76" t="s">
        <v>8</v>
      </c>
    </row>
    <row r="5" spans="1:15" x14ac:dyDescent="0.25">
      <c r="A5" s="10" t="s">
        <v>136</v>
      </c>
      <c r="B5" s="7" t="s">
        <v>137</v>
      </c>
      <c r="C5" s="60"/>
      <c r="D5" s="283">
        <v>98</v>
      </c>
      <c r="E5" s="283">
        <v>90</v>
      </c>
      <c r="F5" s="284">
        <v>0.92</v>
      </c>
      <c r="G5" s="48">
        <v>137</v>
      </c>
      <c r="H5" s="17">
        <v>129</v>
      </c>
      <c r="I5" s="64">
        <f>129/137</f>
        <v>0.94160583941605835</v>
      </c>
      <c r="J5" s="56">
        <v>109</v>
      </c>
      <c r="K5" s="34">
        <v>107</v>
      </c>
      <c r="L5" s="35">
        <f>107/109</f>
        <v>0.98165137614678899</v>
      </c>
      <c r="M5" s="8">
        <v>125</v>
      </c>
      <c r="N5" s="9">
        <v>103</v>
      </c>
      <c r="O5" s="77">
        <f>103/125</f>
        <v>0.82399999999999995</v>
      </c>
    </row>
    <row r="6" spans="1:15" x14ac:dyDescent="0.25">
      <c r="A6" s="10" t="s">
        <v>176</v>
      </c>
      <c r="B6" s="7" t="s">
        <v>146</v>
      </c>
      <c r="C6" s="60"/>
      <c r="D6" s="283">
        <v>51</v>
      </c>
      <c r="E6" s="283">
        <v>50</v>
      </c>
      <c r="F6" s="284">
        <v>0.98</v>
      </c>
      <c r="G6" s="48">
        <v>51</v>
      </c>
      <c r="H6" s="17">
        <v>47</v>
      </c>
      <c r="I6" s="64">
        <f>47/51</f>
        <v>0.92156862745098034</v>
      </c>
      <c r="J6" s="56"/>
      <c r="K6" s="34"/>
      <c r="L6" s="35"/>
      <c r="M6" s="8"/>
      <c r="N6" s="9"/>
      <c r="O6" s="77"/>
    </row>
    <row r="7" spans="1:15" x14ac:dyDescent="0.25">
      <c r="A7" s="10" t="s">
        <v>138</v>
      </c>
      <c r="B7" s="7" t="s">
        <v>139</v>
      </c>
      <c r="C7" s="60"/>
      <c r="D7" s="283">
        <v>42</v>
      </c>
      <c r="E7" s="283">
        <v>40</v>
      </c>
      <c r="F7" s="284">
        <v>0.95</v>
      </c>
      <c r="G7" s="48">
        <v>48</v>
      </c>
      <c r="H7" s="17">
        <v>44</v>
      </c>
      <c r="I7" s="64">
        <f>44/48</f>
        <v>0.91666666666666663</v>
      </c>
      <c r="J7" s="56">
        <v>55</v>
      </c>
      <c r="K7" s="34">
        <v>51</v>
      </c>
      <c r="L7" s="35">
        <f>51/55</f>
        <v>0.92727272727272725</v>
      </c>
      <c r="M7" s="8">
        <v>47</v>
      </c>
      <c r="N7" s="9">
        <v>42</v>
      </c>
      <c r="O7" s="77">
        <f>42/47</f>
        <v>0.8936170212765957</v>
      </c>
    </row>
    <row r="8" spans="1:15" x14ac:dyDescent="0.25">
      <c r="A8" s="10" t="s">
        <v>141</v>
      </c>
      <c r="B8" s="7" t="s">
        <v>142</v>
      </c>
      <c r="C8" s="60"/>
      <c r="D8" s="283">
        <v>88</v>
      </c>
      <c r="E8" s="283">
        <v>75</v>
      </c>
      <c r="F8" s="284">
        <f>75/88</f>
        <v>0.85227272727272729</v>
      </c>
      <c r="G8" s="48">
        <v>78</v>
      </c>
      <c r="H8" s="17">
        <v>58</v>
      </c>
      <c r="I8" s="64">
        <f>58/78</f>
        <v>0.74358974358974361</v>
      </c>
      <c r="J8" s="56">
        <v>90</v>
      </c>
      <c r="K8" s="34">
        <v>69</v>
      </c>
      <c r="L8" s="35">
        <f>69/90</f>
        <v>0.76666666666666672</v>
      </c>
      <c r="M8" s="8">
        <v>80</v>
      </c>
      <c r="N8" s="9">
        <v>60</v>
      </c>
      <c r="O8" s="77">
        <f>60/80</f>
        <v>0.75</v>
      </c>
    </row>
    <row r="9" spans="1:15" x14ac:dyDescent="0.25">
      <c r="A9" s="10" t="s">
        <v>143</v>
      </c>
      <c r="B9" s="7" t="s">
        <v>144</v>
      </c>
      <c r="C9" s="63"/>
      <c r="D9" s="283">
        <v>89</v>
      </c>
      <c r="E9" s="283">
        <v>72</v>
      </c>
      <c r="F9" s="284">
        <v>0.81</v>
      </c>
      <c r="G9" s="17">
        <v>79</v>
      </c>
      <c r="H9" s="17">
        <v>52</v>
      </c>
      <c r="I9" s="64">
        <f>52/79</f>
        <v>0.65822784810126578</v>
      </c>
      <c r="J9" s="56">
        <v>70</v>
      </c>
      <c r="K9" s="34">
        <v>51</v>
      </c>
      <c r="L9" s="35">
        <f>51/70</f>
        <v>0.72857142857142854</v>
      </c>
      <c r="M9" s="5">
        <v>31</v>
      </c>
      <c r="N9" s="6">
        <v>25</v>
      </c>
      <c r="O9" s="77">
        <f>25/31</f>
        <v>0.80645161290322576</v>
      </c>
    </row>
    <row r="10" spans="1:15" x14ac:dyDescent="0.25">
      <c r="A10" s="10" t="s">
        <v>145</v>
      </c>
      <c r="B10" s="7" t="s">
        <v>146</v>
      </c>
      <c r="C10" s="60"/>
      <c r="D10" s="283">
        <v>20</v>
      </c>
      <c r="E10" s="283">
        <v>20</v>
      </c>
      <c r="F10" s="284">
        <v>1</v>
      </c>
      <c r="G10" s="48">
        <v>17</v>
      </c>
      <c r="H10" s="17">
        <v>17</v>
      </c>
      <c r="I10" s="64">
        <v>1</v>
      </c>
      <c r="J10" s="56">
        <v>19</v>
      </c>
      <c r="K10" s="34">
        <v>17</v>
      </c>
      <c r="L10" s="35">
        <f>17/19</f>
        <v>0.89473684210526316</v>
      </c>
      <c r="M10" s="5">
        <v>22</v>
      </c>
      <c r="N10" s="6">
        <v>20</v>
      </c>
      <c r="O10" s="77">
        <f>20/22</f>
        <v>0.90909090909090906</v>
      </c>
    </row>
    <row r="11" spans="1:15" x14ac:dyDescent="0.25">
      <c r="A11" s="10" t="s">
        <v>147</v>
      </c>
      <c r="B11" s="7" t="s">
        <v>148</v>
      </c>
      <c r="C11" s="60"/>
      <c r="D11" s="283">
        <v>20</v>
      </c>
      <c r="E11" s="283">
        <v>20</v>
      </c>
      <c r="F11" s="284">
        <v>1</v>
      </c>
      <c r="G11" s="48">
        <v>17</v>
      </c>
      <c r="H11" s="17">
        <v>17</v>
      </c>
      <c r="I11" s="64">
        <v>1</v>
      </c>
      <c r="J11" s="56">
        <v>18</v>
      </c>
      <c r="K11" s="34">
        <v>17</v>
      </c>
      <c r="L11" s="35">
        <f>17/18</f>
        <v>0.94444444444444442</v>
      </c>
      <c r="M11" s="5">
        <v>19</v>
      </c>
      <c r="N11" s="6">
        <v>19</v>
      </c>
      <c r="O11" s="77">
        <v>1</v>
      </c>
    </row>
    <row r="12" spans="1:15" x14ac:dyDescent="0.25">
      <c r="A12" s="10" t="s">
        <v>149</v>
      </c>
      <c r="B12" s="7" t="s">
        <v>142</v>
      </c>
      <c r="C12" s="60"/>
      <c r="D12" s="283">
        <v>21</v>
      </c>
      <c r="E12" s="283">
        <v>17</v>
      </c>
      <c r="F12" s="284">
        <v>0.81</v>
      </c>
      <c r="G12" s="48">
        <v>20</v>
      </c>
      <c r="H12" s="17">
        <v>16</v>
      </c>
      <c r="I12" s="64">
        <f>16/20</f>
        <v>0.8</v>
      </c>
      <c r="J12" s="56">
        <v>18</v>
      </c>
      <c r="K12" s="34">
        <v>11</v>
      </c>
      <c r="L12" s="35">
        <f>11/18</f>
        <v>0.61111111111111116</v>
      </c>
      <c r="M12" s="5">
        <v>17</v>
      </c>
      <c r="N12" s="6">
        <v>10</v>
      </c>
      <c r="O12" s="77">
        <f>10/17</f>
        <v>0.58823529411764708</v>
      </c>
    </row>
    <row r="13" spans="1:15" x14ac:dyDescent="0.25">
      <c r="A13" s="10" t="s">
        <v>150</v>
      </c>
      <c r="B13" s="7" t="s">
        <v>151</v>
      </c>
      <c r="C13" s="60"/>
      <c r="D13" s="283">
        <v>13</v>
      </c>
      <c r="E13" s="283">
        <v>9</v>
      </c>
      <c r="F13" s="284">
        <v>0.69</v>
      </c>
      <c r="G13" s="48">
        <v>6</v>
      </c>
      <c r="H13" s="17">
        <v>6</v>
      </c>
      <c r="I13" s="64">
        <v>1</v>
      </c>
      <c r="J13" s="56">
        <v>5</v>
      </c>
      <c r="K13" s="34">
        <v>5</v>
      </c>
      <c r="L13" s="35">
        <v>1</v>
      </c>
      <c r="M13" s="5">
        <v>6</v>
      </c>
      <c r="N13" s="6">
        <v>6</v>
      </c>
      <c r="O13" s="77">
        <v>1</v>
      </c>
    </row>
    <row r="14" spans="1:15" x14ac:dyDescent="0.25">
      <c r="A14" s="10" t="s">
        <v>152</v>
      </c>
      <c r="B14" s="7" t="s">
        <v>153</v>
      </c>
      <c r="C14" s="60"/>
      <c r="D14" s="283">
        <v>8</v>
      </c>
      <c r="E14" s="283">
        <v>8</v>
      </c>
      <c r="F14" s="284">
        <v>1</v>
      </c>
      <c r="G14" s="48">
        <v>2</v>
      </c>
      <c r="H14" s="17">
        <v>2</v>
      </c>
      <c r="I14" s="64">
        <v>1</v>
      </c>
      <c r="J14" s="56">
        <v>8</v>
      </c>
      <c r="K14" s="34">
        <v>8</v>
      </c>
      <c r="L14" s="35">
        <v>1</v>
      </c>
      <c r="M14" s="5">
        <v>13</v>
      </c>
      <c r="N14" s="6">
        <v>11</v>
      </c>
      <c r="O14" s="77">
        <f>11/13</f>
        <v>0.84615384615384615</v>
      </c>
    </row>
    <row r="15" spans="1:15" x14ac:dyDescent="0.25">
      <c r="A15" s="289" t="s">
        <v>190</v>
      </c>
      <c r="B15" s="7" t="s">
        <v>192</v>
      </c>
      <c r="C15" s="7"/>
      <c r="D15" s="283">
        <v>90</v>
      </c>
      <c r="E15" s="283">
        <v>80</v>
      </c>
      <c r="F15" s="284">
        <v>0.88</v>
      </c>
      <c r="G15" s="48">
        <v>75</v>
      </c>
      <c r="H15" s="17">
        <v>53</v>
      </c>
      <c r="I15" s="64">
        <v>0.7</v>
      </c>
      <c r="J15" s="56" t="s">
        <v>193</v>
      </c>
      <c r="K15" s="34"/>
      <c r="L15" s="35"/>
      <c r="M15" s="5"/>
      <c r="N15" s="6"/>
      <c r="O15" s="77"/>
    </row>
    <row r="16" spans="1:15" x14ac:dyDescent="0.25">
      <c r="A16" s="289" t="s">
        <v>191</v>
      </c>
      <c r="B16" s="7" t="s">
        <v>192</v>
      </c>
      <c r="C16" s="7"/>
      <c r="D16" s="283">
        <v>13</v>
      </c>
      <c r="E16" s="283">
        <v>10</v>
      </c>
      <c r="F16" s="284">
        <v>0.77</v>
      </c>
      <c r="G16" s="48">
        <v>10</v>
      </c>
      <c r="H16" s="17">
        <v>9</v>
      </c>
      <c r="I16" s="93">
        <v>0.9</v>
      </c>
      <c r="J16" s="56"/>
      <c r="K16" s="34"/>
      <c r="L16" s="35"/>
      <c r="M16" s="5"/>
      <c r="N16" s="6"/>
      <c r="O16" s="77"/>
    </row>
    <row r="17" spans="1:15" x14ac:dyDescent="0.25">
      <c r="A17" s="10" t="s">
        <v>154</v>
      </c>
      <c r="B17" s="7" t="s">
        <v>146</v>
      </c>
      <c r="C17" s="61"/>
      <c r="D17" s="283">
        <v>8</v>
      </c>
      <c r="E17" s="283">
        <v>8</v>
      </c>
      <c r="F17" s="284">
        <v>0.08</v>
      </c>
      <c r="G17" s="48">
        <v>5</v>
      </c>
      <c r="H17" s="17">
        <v>5</v>
      </c>
      <c r="I17" s="64">
        <v>1</v>
      </c>
      <c r="J17" s="56">
        <v>10</v>
      </c>
      <c r="K17" s="34">
        <v>9</v>
      </c>
      <c r="L17" s="35">
        <f>9/10</f>
        <v>0.9</v>
      </c>
      <c r="M17" s="8">
        <v>7</v>
      </c>
      <c r="N17" s="9">
        <v>7</v>
      </c>
      <c r="O17" s="77">
        <v>1</v>
      </c>
    </row>
    <row r="18" spans="1:15" x14ac:dyDescent="0.25">
      <c r="A18" s="10" t="s">
        <v>155</v>
      </c>
      <c r="B18" s="7" t="s">
        <v>148</v>
      </c>
      <c r="C18" s="60"/>
      <c r="D18" s="283">
        <v>7</v>
      </c>
      <c r="E18" s="283">
        <v>7</v>
      </c>
      <c r="F18" s="284">
        <v>7.0000000000000007E-2</v>
      </c>
      <c r="G18" s="48">
        <v>5</v>
      </c>
      <c r="H18" s="17">
        <v>5</v>
      </c>
      <c r="I18" s="64">
        <v>1</v>
      </c>
      <c r="J18" s="56">
        <v>10</v>
      </c>
      <c r="K18" s="34">
        <v>10</v>
      </c>
      <c r="L18" s="35">
        <v>1</v>
      </c>
      <c r="M18" s="8">
        <v>6</v>
      </c>
      <c r="N18" s="9">
        <v>6</v>
      </c>
      <c r="O18" s="77">
        <v>1</v>
      </c>
    </row>
    <row r="19" spans="1:15" ht="15.75" thickBot="1" x14ac:dyDescent="0.3">
      <c r="A19" s="10" t="s">
        <v>156</v>
      </c>
      <c r="B19" s="7" t="s">
        <v>157</v>
      </c>
      <c r="C19" s="60"/>
      <c r="D19" s="283">
        <v>5</v>
      </c>
      <c r="E19" s="283">
        <v>5</v>
      </c>
      <c r="F19" s="284">
        <v>1</v>
      </c>
      <c r="G19" s="48">
        <v>2</v>
      </c>
      <c r="H19" s="17">
        <v>2</v>
      </c>
      <c r="I19" s="64">
        <v>1</v>
      </c>
      <c r="J19" s="56">
        <v>3</v>
      </c>
      <c r="K19" s="34">
        <v>3</v>
      </c>
      <c r="L19" s="35">
        <v>1</v>
      </c>
      <c r="M19" s="8">
        <v>2</v>
      </c>
      <c r="N19" s="9">
        <v>2</v>
      </c>
      <c r="O19" s="77">
        <v>1</v>
      </c>
    </row>
    <row r="20" spans="1:15" ht="15.75" thickBot="1" x14ac:dyDescent="0.3">
      <c r="A20" s="12"/>
      <c r="B20" s="37" t="s">
        <v>33</v>
      </c>
      <c r="C20" s="62"/>
      <c r="D20" s="285">
        <f>SUM(D5:D19)</f>
        <v>573</v>
      </c>
      <c r="E20" s="285">
        <f>SUM(E5:E19)</f>
        <v>511</v>
      </c>
      <c r="F20" s="286">
        <v>0.89</v>
      </c>
      <c r="G20" s="50">
        <f>SUM(G5:G19)</f>
        <v>552</v>
      </c>
      <c r="H20" s="24">
        <f>SUM(H5:H19)</f>
        <v>462</v>
      </c>
      <c r="I20" s="68">
        <f>462/552</f>
        <v>0.83695652173913049</v>
      </c>
      <c r="J20" s="57">
        <v>670</v>
      </c>
      <c r="K20" s="26">
        <v>599</v>
      </c>
      <c r="L20" s="38">
        <f>599/670</f>
        <v>0.89402985074626862</v>
      </c>
      <c r="M20" s="288">
        <v>526</v>
      </c>
      <c r="N20" s="15">
        <v>439</v>
      </c>
      <c r="O20" s="79">
        <f>439/526</f>
        <v>0.83460076045627374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workbookViewId="0">
      <selection activeCell="F22" sqref="F22"/>
    </sheetView>
  </sheetViews>
  <sheetFormatPr defaultRowHeight="15" x14ac:dyDescent="0.25"/>
  <cols>
    <col min="1" max="1" width="11.85546875" customWidth="1"/>
    <col min="7" max="7" width="10.28515625" customWidth="1"/>
    <col min="10" max="10" width="10.42578125" customWidth="1"/>
    <col min="12" max="12" width="10" customWidth="1"/>
  </cols>
  <sheetData>
    <row r="1" spans="1:16384" x14ac:dyDescent="0.25">
      <c r="A1" s="25" t="s">
        <v>177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ht="15.75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pans="1:16384" ht="15.75" thickBot="1" x14ac:dyDescent="0.3">
      <c r="A3" s="52"/>
      <c r="B3" s="52"/>
      <c r="C3" s="54"/>
      <c r="D3" s="264"/>
      <c r="E3" s="264" t="s">
        <v>181</v>
      </c>
      <c r="F3" s="264"/>
      <c r="G3" s="46"/>
      <c r="H3" s="47" t="s">
        <v>0</v>
      </c>
      <c r="I3" s="66"/>
      <c r="J3" s="58"/>
      <c r="K3" s="58" t="s">
        <v>1</v>
      </c>
      <c r="L3" s="58"/>
      <c r="M3" s="71"/>
      <c r="N3" s="71" t="s">
        <v>2</v>
      </c>
      <c r="O3" s="7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r="4" spans="1:16384" ht="15.75" thickBot="1" x14ac:dyDescent="0.3">
      <c r="A4" s="13" t="s">
        <v>158</v>
      </c>
      <c r="B4" s="39"/>
      <c r="C4" s="69"/>
      <c r="D4" s="265" t="s">
        <v>6</v>
      </c>
      <c r="E4" s="265" t="s">
        <v>7</v>
      </c>
      <c r="F4" s="265" t="s">
        <v>8</v>
      </c>
      <c r="G4" s="19" t="s">
        <v>6</v>
      </c>
      <c r="H4" s="21" t="s">
        <v>7</v>
      </c>
      <c r="I4" s="22" t="s">
        <v>8</v>
      </c>
      <c r="J4" s="27" t="s">
        <v>6</v>
      </c>
      <c r="K4" s="32" t="s">
        <v>7</v>
      </c>
      <c r="L4" s="33" t="s">
        <v>8</v>
      </c>
      <c r="M4" s="14" t="s">
        <v>6</v>
      </c>
      <c r="N4" s="3" t="s">
        <v>7</v>
      </c>
      <c r="O4" s="76" t="s">
        <v>8</v>
      </c>
    </row>
    <row r="5" spans="1:16384" x14ac:dyDescent="0.25">
      <c r="A5" s="263" t="s">
        <v>159</v>
      </c>
      <c r="B5" s="10" t="s">
        <v>160</v>
      </c>
      <c r="C5" s="60"/>
      <c r="D5" s="266" t="s">
        <v>204</v>
      </c>
      <c r="E5" s="266"/>
      <c r="F5" s="266"/>
      <c r="G5" s="48">
        <v>7</v>
      </c>
      <c r="H5" s="17">
        <v>7</v>
      </c>
      <c r="I5" s="49">
        <v>100</v>
      </c>
      <c r="J5" s="34">
        <v>13</v>
      </c>
      <c r="K5" s="34">
        <v>12</v>
      </c>
      <c r="L5" s="35">
        <f>12/13</f>
        <v>0.92307692307692313</v>
      </c>
      <c r="M5" s="9">
        <v>29</v>
      </c>
      <c r="N5" s="9">
        <v>26</v>
      </c>
      <c r="O5" s="77">
        <f>26/29</f>
        <v>0.89655172413793105</v>
      </c>
    </row>
    <row r="6" spans="1:16384" x14ac:dyDescent="0.25">
      <c r="A6" s="10" t="s">
        <v>161</v>
      </c>
      <c r="B6" s="10" t="s">
        <v>162</v>
      </c>
      <c r="C6" s="60"/>
      <c r="D6" s="266">
        <v>6</v>
      </c>
      <c r="E6" s="266">
        <v>5</v>
      </c>
      <c r="F6" s="266">
        <v>83</v>
      </c>
      <c r="G6" s="34" t="s">
        <v>140</v>
      </c>
      <c r="H6" s="17"/>
      <c r="I6" s="49"/>
      <c r="J6" s="34">
        <v>7</v>
      </c>
      <c r="K6" s="34">
        <v>5</v>
      </c>
      <c r="L6" s="35">
        <f>5/7</f>
        <v>0.7142857142857143</v>
      </c>
      <c r="M6" s="6" t="s">
        <v>140</v>
      </c>
      <c r="N6" s="6"/>
      <c r="O6" s="77"/>
    </row>
    <row r="7" spans="1:16384" x14ac:dyDescent="0.25">
      <c r="A7" s="10" t="s">
        <v>163</v>
      </c>
      <c r="B7" s="10" t="s">
        <v>164</v>
      </c>
      <c r="C7" s="60"/>
      <c r="D7" s="266">
        <v>25</v>
      </c>
      <c r="E7" s="266">
        <v>15</v>
      </c>
      <c r="F7" s="266">
        <v>60</v>
      </c>
      <c r="G7" s="48">
        <v>2</v>
      </c>
      <c r="H7" s="17">
        <v>0</v>
      </c>
      <c r="I7" s="49">
        <v>0</v>
      </c>
      <c r="J7" s="34">
        <v>29</v>
      </c>
      <c r="K7" s="34">
        <v>22</v>
      </c>
      <c r="L7" s="35">
        <f>22/29</f>
        <v>0.75862068965517238</v>
      </c>
      <c r="M7" s="9">
        <v>33</v>
      </c>
      <c r="N7" s="9">
        <v>20</v>
      </c>
      <c r="O7" s="77">
        <f>20/33</f>
        <v>0.60606060606060608</v>
      </c>
    </row>
    <row r="8" spans="1:16384" x14ac:dyDescent="0.25">
      <c r="A8" s="10" t="s">
        <v>165</v>
      </c>
      <c r="B8" s="10" t="s">
        <v>166</v>
      </c>
      <c r="C8" s="60"/>
      <c r="D8" s="266">
        <v>15</v>
      </c>
      <c r="E8" s="266">
        <v>14</v>
      </c>
      <c r="F8" s="266">
        <v>93</v>
      </c>
      <c r="G8" s="48">
        <v>12</v>
      </c>
      <c r="H8" s="17">
        <v>8</v>
      </c>
      <c r="I8" s="80">
        <v>67</v>
      </c>
      <c r="J8" s="34">
        <v>2</v>
      </c>
      <c r="K8" s="34">
        <v>2</v>
      </c>
      <c r="L8" s="35">
        <v>1</v>
      </c>
      <c r="M8" s="9">
        <v>16</v>
      </c>
      <c r="N8" s="9">
        <v>13</v>
      </c>
      <c r="O8" s="77">
        <f>13/16</f>
        <v>0.8125</v>
      </c>
    </row>
    <row r="9" spans="1:16384" ht="15.75" thickBot="1" x14ac:dyDescent="0.3">
      <c r="A9" s="40" t="s">
        <v>167</v>
      </c>
      <c r="B9" s="40" t="s">
        <v>168</v>
      </c>
      <c r="C9" s="70"/>
      <c r="D9" s="267">
        <v>31</v>
      </c>
      <c r="E9" s="267">
        <v>29</v>
      </c>
      <c r="F9" s="267">
        <v>93</v>
      </c>
      <c r="G9" s="72">
        <v>31</v>
      </c>
      <c r="H9" s="73">
        <v>30</v>
      </c>
      <c r="I9" s="74">
        <v>97</v>
      </c>
      <c r="J9" s="41">
        <v>29</v>
      </c>
      <c r="K9" s="41">
        <v>22</v>
      </c>
      <c r="L9" s="42">
        <f>22/29</f>
        <v>0.75862068965517238</v>
      </c>
      <c r="M9" s="9">
        <v>19</v>
      </c>
      <c r="N9" s="9">
        <v>14</v>
      </c>
      <c r="O9" s="78">
        <f>14/19</f>
        <v>0.73684210526315785</v>
      </c>
    </row>
    <row r="10" spans="1:16384" ht="15.75" thickBot="1" x14ac:dyDescent="0.3">
      <c r="A10" s="12"/>
      <c r="B10" s="23" t="s">
        <v>33</v>
      </c>
      <c r="C10" s="62"/>
      <c r="D10" s="265"/>
      <c r="E10" s="265"/>
      <c r="F10" s="265"/>
      <c r="G10" s="50">
        <f>SUM(G5:G9)</f>
        <v>52</v>
      </c>
      <c r="H10" s="24">
        <f>SUM(H5:H9)</f>
        <v>45</v>
      </c>
      <c r="I10" s="51">
        <v>86</v>
      </c>
      <c r="J10" s="26">
        <v>80</v>
      </c>
      <c r="K10" s="26">
        <v>63</v>
      </c>
      <c r="L10" s="38">
        <f>63/80</f>
        <v>0.78749999999999998</v>
      </c>
      <c r="M10" s="14">
        <v>135</v>
      </c>
      <c r="N10" s="14">
        <v>108</v>
      </c>
      <c r="O10" s="79">
        <f>108/135</f>
        <v>0.8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A4" sqref="A4:C4"/>
    </sheetView>
  </sheetViews>
  <sheetFormatPr defaultRowHeight="15" x14ac:dyDescent="0.25"/>
  <cols>
    <col min="7" max="7" width="10.42578125" customWidth="1"/>
    <col min="9" max="9" width="10.140625" customWidth="1"/>
    <col min="10" max="10" width="10.7109375" customWidth="1"/>
    <col min="12" max="12" width="10" customWidth="1"/>
    <col min="13" max="13" width="11.140625" customWidth="1"/>
  </cols>
  <sheetData>
    <row r="1" spans="1:15" x14ac:dyDescent="0.25">
      <c r="A1" s="25" t="s">
        <v>177</v>
      </c>
    </row>
    <row r="2" spans="1:15" ht="15.75" thickBot="1" x14ac:dyDescent="0.3"/>
    <row r="3" spans="1:15" ht="15.75" thickBot="1" x14ac:dyDescent="0.3">
      <c r="D3" s="268"/>
      <c r="E3" s="269" t="s">
        <v>183</v>
      </c>
      <c r="F3" s="270"/>
      <c r="G3" s="46"/>
      <c r="H3" s="16" t="s">
        <v>178</v>
      </c>
      <c r="I3" s="94"/>
      <c r="J3" s="83"/>
      <c r="K3" s="30" t="s">
        <v>179</v>
      </c>
      <c r="L3" s="95"/>
      <c r="M3" s="96"/>
      <c r="N3" s="28" t="s">
        <v>180</v>
      </c>
      <c r="O3" s="97"/>
    </row>
    <row r="4" spans="1:15" ht="15.75" thickBot="1" x14ac:dyDescent="0.3">
      <c r="A4" s="13" t="s">
        <v>169</v>
      </c>
      <c r="B4" s="280"/>
      <c r="C4" s="280"/>
      <c r="D4" s="271" t="s">
        <v>6</v>
      </c>
      <c r="E4" s="272" t="s">
        <v>7</v>
      </c>
      <c r="F4" s="273" t="s">
        <v>8</v>
      </c>
      <c r="G4" s="20" t="s">
        <v>6</v>
      </c>
      <c r="H4" s="21" t="s">
        <v>7</v>
      </c>
      <c r="I4" s="29" t="s">
        <v>8</v>
      </c>
      <c r="J4" s="55" t="s">
        <v>6</v>
      </c>
      <c r="K4" s="32" t="s">
        <v>7</v>
      </c>
      <c r="L4" s="84" t="s">
        <v>8</v>
      </c>
      <c r="M4" s="2" t="s">
        <v>6</v>
      </c>
      <c r="N4" s="3" t="s">
        <v>7</v>
      </c>
      <c r="O4" s="76" t="s">
        <v>8</v>
      </c>
    </row>
    <row r="5" spans="1:15" x14ac:dyDescent="0.25">
      <c r="A5" s="10" t="s">
        <v>170</v>
      </c>
      <c r="B5" s="4" t="s">
        <v>171</v>
      </c>
      <c r="C5" s="36"/>
      <c r="D5" s="274">
        <v>68</v>
      </c>
      <c r="E5" s="275">
        <v>32</v>
      </c>
      <c r="F5" s="276">
        <v>47</v>
      </c>
      <c r="G5" s="48">
        <v>61</v>
      </c>
      <c r="H5" s="17">
        <v>33</v>
      </c>
      <c r="I5" s="49">
        <v>54</v>
      </c>
      <c r="J5" s="56">
        <v>109</v>
      </c>
      <c r="K5" s="34">
        <v>41</v>
      </c>
      <c r="L5" s="87">
        <f>41/109</f>
        <v>0.37614678899082571</v>
      </c>
      <c r="M5" s="5">
        <v>61</v>
      </c>
      <c r="N5" s="6">
        <v>17</v>
      </c>
      <c r="O5" s="77">
        <f>17/61</f>
        <v>0.27868852459016391</v>
      </c>
    </row>
    <row r="6" spans="1:15" x14ac:dyDescent="0.25">
      <c r="A6" s="10" t="s">
        <v>172</v>
      </c>
      <c r="B6" s="7" t="s">
        <v>173</v>
      </c>
      <c r="C6" s="7"/>
      <c r="D6" s="274">
        <v>14</v>
      </c>
      <c r="E6" s="275">
        <v>13</v>
      </c>
      <c r="F6" s="276">
        <v>92</v>
      </c>
      <c r="G6" s="48">
        <v>11</v>
      </c>
      <c r="H6" s="17">
        <v>11</v>
      </c>
      <c r="I6" s="49">
        <v>100</v>
      </c>
      <c r="J6" s="56">
        <v>33</v>
      </c>
      <c r="K6" s="34">
        <v>28</v>
      </c>
      <c r="L6" s="88">
        <f>28/33</f>
        <v>0.84848484848484851</v>
      </c>
      <c r="M6" s="8">
        <v>28</v>
      </c>
      <c r="N6" s="9">
        <v>24</v>
      </c>
      <c r="O6" s="77">
        <f>24/28</f>
        <v>0.8571428571428571</v>
      </c>
    </row>
    <row r="7" spans="1:15" x14ac:dyDescent="0.25">
      <c r="A7" s="10" t="s">
        <v>174</v>
      </c>
      <c r="B7" s="7" t="s">
        <v>175</v>
      </c>
      <c r="C7" s="7"/>
      <c r="D7" s="274">
        <v>7</v>
      </c>
      <c r="E7" s="275">
        <v>6</v>
      </c>
      <c r="F7" s="276">
        <v>86</v>
      </c>
      <c r="G7" s="48">
        <v>5</v>
      </c>
      <c r="H7" s="17">
        <v>4</v>
      </c>
      <c r="I7" s="49">
        <v>80</v>
      </c>
      <c r="J7" s="56">
        <v>17</v>
      </c>
      <c r="K7" s="34">
        <v>17</v>
      </c>
      <c r="L7" s="88">
        <f>17/17</f>
        <v>1</v>
      </c>
      <c r="M7" s="8">
        <v>17</v>
      </c>
      <c r="N7" s="9">
        <v>17</v>
      </c>
      <c r="O7" s="77">
        <v>1</v>
      </c>
    </row>
    <row r="8" spans="1:15" ht="15.75" thickBot="1" x14ac:dyDescent="0.3">
      <c r="A8" s="43"/>
      <c r="B8" s="44" t="s">
        <v>33</v>
      </c>
      <c r="C8" s="44"/>
      <c r="D8" s="277">
        <f>SUM(D5:D7)</f>
        <v>89</v>
      </c>
      <c r="E8" s="278">
        <f>SUM(E5:E7)</f>
        <v>51</v>
      </c>
      <c r="F8" s="279">
        <v>57</v>
      </c>
      <c r="G8" s="85">
        <f>SUM(G5:G7)</f>
        <v>77</v>
      </c>
      <c r="H8" s="18">
        <f>SUM(H5:H7)</f>
        <v>48</v>
      </c>
      <c r="I8" s="86">
        <v>66</v>
      </c>
      <c r="J8" s="89">
        <v>171</v>
      </c>
      <c r="K8" s="45">
        <v>97</v>
      </c>
      <c r="L8" s="90">
        <f>97/171</f>
        <v>0.56725146198830412</v>
      </c>
      <c r="M8" s="91">
        <v>118</v>
      </c>
      <c r="N8" s="11">
        <v>69</v>
      </c>
      <c r="O8" s="92">
        <f>69/118</f>
        <v>0.5847457627118644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MiR</vt:lpstr>
      <vt:lpstr>IKRS</vt:lpstr>
      <vt:lpstr>HUMR</vt:lpstr>
      <vt:lpstr>SERI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2022-09-05T08:57:19Z</dcterms:modified>
</cp:coreProperties>
</file>